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drawings/drawing4.xml" ContentType="application/vnd.openxmlformats-officedocument.drawing+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drawings/drawing5.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drawings/drawing6.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drawings/drawing7.xml" ContentType="application/vnd.openxmlformats-officedocument.drawing+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8.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drawings/drawing9.xml" ContentType="application/vnd.openxmlformats-officedocument.drawing+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comments1.xml" ContentType="application/vnd.openxmlformats-officedocument.spreadsheetml.comments+xml"/>
  <Override PartName="/xl/drawings/drawing10.xml" ContentType="application/vnd.openxmlformats-officedocument.drawing+xml"/>
  <Override PartName="/xl/tables/table55.xml" ContentType="application/vnd.openxmlformats-officedocument.spreadsheetml.table+xml"/>
  <Override PartName="/xl/tables/table56.xml" ContentType="application/vnd.openxmlformats-officedocument.spreadsheetml.table+xml"/>
  <Override PartName="/xl/drawings/drawing11.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drawings/drawing1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defaultThemeVersion="166925"/>
  <mc:AlternateContent xmlns:mc="http://schemas.openxmlformats.org/markup-compatibility/2006">
    <mc:Choice Requires="x15">
      <x15ac:absPath xmlns:x15ac="http://schemas.microsoft.com/office/spreadsheetml/2010/11/ac" url="https://ascaqua.sharepoint.com/sites/ImpactsME/Shared Documents/General/08_Data reporting and submissions/Data reporting templates/Farm standard - Reporting templates and forms/Production template derivatives/Continuous/New set/"/>
    </mc:Choice>
  </mc:AlternateContent>
  <xr:revisionPtr revIDLastSave="20" documentId="8_{91E360B5-15C0-4934-8737-3B973F35CEE2}" xr6:coauthVersionLast="47" xr6:coauthVersionMax="47" xr10:uidLastSave="{4A964181-186A-44EC-951A-19C6100333E0}"/>
  <workbookProtection workbookAlgorithmName="SHA-512" workbookHashValue="B9yde72tj7eBrq2+uGd38sjEeKdJwsKEL+gWiM3zoT5gimkdEG/NimSZvw4cmqeBhkErmP/88bCe9+TN9PYmWQ==" workbookSaltValue="49K8/Bs+5A0uBUUI2L4LSA==" workbookSpinCount="100000" lockStructure="1"/>
  <bookViews>
    <workbookView xWindow="28680" yWindow="-5055" windowWidth="29040" windowHeight="17520" tabRatio="685" xr2:uid="{FD32E8E5-3906-4D8A-850C-0BF6599CF705}"/>
  </bookViews>
  <sheets>
    <sheet name="Start page - Production data" sheetId="32" r:id="rId1"/>
    <sheet name="Reporting overview" sheetId="29" r:id="rId2"/>
    <sheet name="Site and production details" sheetId="24" r:id="rId3"/>
    <sheet name="Known escapes" sheetId="9" state="hidden" r:id="rId4"/>
    <sheet name="Benthic - MB Level 1 &amp; 2" sheetId="41" state="hidden" r:id="rId5"/>
    <sheet name="Benthic - MB Level 3" sheetId="39" state="hidden" r:id="rId6"/>
    <sheet name="Benthic - M  Level 1 &amp; 2" sheetId="27" r:id="rId7"/>
    <sheet name="Benthic - M  Level 3" sheetId="56" r:id="rId8"/>
    <sheet name="Benthic - L&amp;R Level 1 &amp; 2" sheetId="52" state="hidden" r:id="rId9"/>
    <sheet name="Benthic - L&amp;R  Level 3" sheetId="53" state="hidden" r:id="rId10"/>
    <sheet name="Feed" sheetId="12" state="hidden" r:id="rId11"/>
    <sheet name="Mortality" sheetId="37" r:id="rId12"/>
    <sheet name="Veterinary therapeutants" sheetId="17" r:id="rId13"/>
    <sheet name="Dropdown tables - Production" sheetId="33" state="hidden" r:id="rId14"/>
  </sheets>
  <definedNames>
    <definedName name="_xlnm._FilterDatabase" localSheetId="1" hidden="1">'Reporting overview'!$B$3:$D$10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8" i="12" l="1"/>
  <c r="N9" i="12"/>
  <c r="N10" i="12"/>
  <c r="N11" i="12"/>
  <c r="N12" i="12"/>
  <c r="N13" i="12"/>
  <c r="N14" i="12"/>
  <c r="N15" i="12"/>
  <c r="N16" i="12"/>
  <c r="N17" i="12"/>
  <c r="N18" i="12"/>
  <c r="N19" i="12"/>
  <c r="N20" i="12"/>
  <c r="N21" i="12"/>
  <c r="N22" i="12"/>
  <c r="N23" i="12"/>
  <c r="N24" i="12"/>
  <c r="N25" i="12"/>
  <c r="N26" i="12"/>
  <c r="N27" i="12"/>
  <c r="N28" i="12"/>
  <c r="N29" i="12"/>
  <c r="D6" i="24" l="1"/>
  <c r="AC34" i="12"/>
  <c r="AC35" i="12"/>
  <c r="AC36" i="12"/>
  <c r="AC37" i="12"/>
  <c r="AC38" i="12"/>
  <c r="AC39" i="12"/>
  <c r="AC40" i="12"/>
  <c r="AC41" i="12"/>
  <c r="AC42" i="12"/>
  <c r="AC43" i="12"/>
  <c r="AC44" i="12"/>
  <c r="AC45" i="12"/>
  <c r="AC46" i="12"/>
  <c r="AC47" i="12"/>
  <c r="AC48" i="12"/>
  <c r="AC49" i="12"/>
  <c r="AC50" i="12"/>
  <c r="AC51" i="12"/>
  <c r="AC52" i="12"/>
  <c r="AC53" i="12"/>
  <c r="AC54" i="12"/>
  <c r="AC55" i="12"/>
  <c r="AC56" i="12"/>
  <c r="AC57" i="12"/>
  <c r="AC58" i="12"/>
  <c r="AC59" i="12"/>
  <c r="AC60" i="12"/>
  <c r="AC61" i="12"/>
  <c r="AC62" i="12"/>
  <c r="AC63" i="12"/>
  <c r="AC64" i="12"/>
  <c r="AC65" i="12"/>
  <c r="AC66" i="12"/>
  <c r="AC67" i="12"/>
  <c r="AC68" i="12"/>
  <c r="AC69" i="12"/>
  <c r="AC70" i="12"/>
  <c r="AC71" i="12"/>
  <c r="AC72" i="12"/>
  <c r="AC73" i="12"/>
  <c r="AC74" i="12"/>
  <c r="AC75" i="12"/>
  <c r="AC76" i="12"/>
  <c r="AC77" i="12"/>
  <c r="AC78" i="12"/>
  <c r="AC79" i="12"/>
  <c r="AC80" i="12"/>
  <c r="AC81" i="12"/>
  <c r="AC82" i="12"/>
  <c r="AC83" i="12"/>
  <c r="AC84" i="12"/>
  <c r="AC85" i="12"/>
  <c r="AC86" i="12"/>
  <c r="AC87" i="12"/>
  <c r="AC88" i="12"/>
  <c r="AC89" i="12"/>
  <c r="AC90" i="12"/>
  <c r="AC91" i="12"/>
  <c r="AC92" i="12"/>
  <c r="AC93" i="12"/>
  <c r="AC94" i="12"/>
  <c r="AC95" i="12"/>
  <c r="AC96" i="12"/>
  <c r="AC97" i="12"/>
  <c r="AC98" i="12"/>
  <c r="AC99" i="12"/>
  <c r="AC100" i="12"/>
  <c r="AB34" i="12"/>
  <c r="AB35" i="12"/>
  <c r="AB36" i="12"/>
  <c r="AB37" i="12"/>
  <c r="AB38" i="12"/>
  <c r="AB39" i="12"/>
  <c r="AB40" i="12"/>
  <c r="AB41" i="12"/>
  <c r="AB42" i="12"/>
  <c r="AB43" i="12"/>
  <c r="AB44" i="12"/>
  <c r="AB45" i="12"/>
  <c r="AB46" i="12"/>
  <c r="AB47" i="12"/>
  <c r="AB48" i="12"/>
  <c r="AB49" i="12"/>
  <c r="AB50" i="12"/>
  <c r="AB51" i="12"/>
  <c r="AB52" i="12"/>
  <c r="AB53" i="12"/>
  <c r="AB54" i="12"/>
  <c r="AB55" i="12"/>
  <c r="AB56" i="12"/>
  <c r="AB57" i="12"/>
  <c r="AB58" i="12"/>
  <c r="AB59" i="12"/>
  <c r="AB60" i="12"/>
  <c r="AB61" i="12"/>
  <c r="AB62" i="12"/>
  <c r="AB63" i="12"/>
  <c r="AB64" i="12"/>
  <c r="AB65" i="12"/>
  <c r="AB66" i="12"/>
  <c r="AB67" i="12"/>
  <c r="AB68" i="12"/>
  <c r="AB69" i="12"/>
  <c r="AB70" i="12"/>
  <c r="AB71" i="12"/>
  <c r="AB72" i="12"/>
  <c r="AB73" i="12"/>
  <c r="AB74" i="12"/>
  <c r="AB75" i="12"/>
  <c r="AB76" i="12"/>
  <c r="AB77" i="12"/>
  <c r="AB78" i="12"/>
  <c r="AB79" i="12"/>
  <c r="AB80" i="12"/>
  <c r="AB81" i="12"/>
  <c r="AB82" i="12"/>
  <c r="AB83" i="12"/>
  <c r="AB84" i="12"/>
  <c r="AB85" i="12"/>
  <c r="AB86" i="12"/>
  <c r="AB87" i="12"/>
  <c r="AB88" i="12"/>
  <c r="AB89" i="12"/>
  <c r="AB90" i="12"/>
  <c r="AB91" i="12"/>
  <c r="AB92" i="12"/>
  <c r="AB93" i="12"/>
  <c r="AB94" i="12"/>
  <c r="AB95" i="12"/>
  <c r="AB96" i="12"/>
  <c r="AB97" i="12"/>
  <c r="AB98" i="12"/>
  <c r="AB99" i="12"/>
  <c r="AB100" i="12"/>
  <c r="AA34" i="12"/>
  <c r="AA35" i="12"/>
  <c r="AA36" i="12"/>
  <c r="AA37" i="12"/>
  <c r="AA38" i="12"/>
  <c r="AA39" i="12"/>
  <c r="AA40" i="12"/>
  <c r="AA41" i="12"/>
  <c r="AA42" i="12"/>
  <c r="AA43" i="12"/>
  <c r="AA44" i="12"/>
  <c r="AA45" i="12"/>
  <c r="AA46" i="12"/>
  <c r="AA47" i="12"/>
  <c r="AA48" i="12"/>
  <c r="AA49" i="12"/>
  <c r="AA50" i="12"/>
  <c r="AA51" i="12"/>
  <c r="AA52" i="12"/>
  <c r="AA53" i="12"/>
  <c r="AA54" i="12"/>
  <c r="AA55" i="12"/>
  <c r="AA56" i="12"/>
  <c r="AA57" i="12"/>
  <c r="AA58" i="12"/>
  <c r="AA59" i="12"/>
  <c r="AA60" i="12"/>
  <c r="AA61" i="12"/>
  <c r="AA62" i="12"/>
  <c r="AA63" i="12"/>
  <c r="AA64" i="12"/>
  <c r="AA65" i="12"/>
  <c r="AA66" i="12"/>
  <c r="AA67" i="12"/>
  <c r="AA68" i="12"/>
  <c r="AA69" i="12"/>
  <c r="AA70" i="12"/>
  <c r="AA71" i="12"/>
  <c r="AA72" i="12"/>
  <c r="AA73" i="12"/>
  <c r="AA74" i="12"/>
  <c r="AA75" i="12"/>
  <c r="AA76" i="12"/>
  <c r="AA77" i="12"/>
  <c r="AA78" i="12"/>
  <c r="AA79" i="12"/>
  <c r="AA80" i="12"/>
  <c r="AA81" i="12"/>
  <c r="AA82" i="12"/>
  <c r="AA83" i="12"/>
  <c r="AA84" i="12"/>
  <c r="AA85" i="12"/>
  <c r="AA86" i="12"/>
  <c r="AA87" i="12"/>
  <c r="AA88" i="12"/>
  <c r="AA89" i="12"/>
  <c r="AA90" i="12"/>
  <c r="AA91" i="12"/>
  <c r="AA92" i="12"/>
  <c r="AA93" i="12"/>
  <c r="AA94" i="12"/>
  <c r="AA95" i="12"/>
  <c r="AA96" i="12"/>
  <c r="AA97" i="12"/>
  <c r="AA98" i="12"/>
  <c r="AA99" i="12"/>
  <c r="AA100" i="12"/>
  <c r="Z34" i="12"/>
  <c r="Z35" i="12"/>
  <c r="Z36" i="12"/>
  <c r="Z37" i="12"/>
  <c r="Z38" i="12"/>
  <c r="Z39" i="12"/>
  <c r="Z40" i="12"/>
  <c r="Z41" i="12"/>
  <c r="Z42" i="12"/>
  <c r="Z43" i="12"/>
  <c r="Z44" i="12"/>
  <c r="Z45" i="12"/>
  <c r="Z46" i="12"/>
  <c r="Z47" i="12"/>
  <c r="Z48" i="12"/>
  <c r="Z49" i="12"/>
  <c r="Z50" i="12"/>
  <c r="Z51" i="12"/>
  <c r="Z52" i="12"/>
  <c r="Z53" i="12"/>
  <c r="Z54" i="12"/>
  <c r="Z55" i="12"/>
  <c r="Z56" i="12"/>
  <c r="Z57" i="12"/>
  <c r="Z58" i="12"/>
  <c r="Z59" i="12"/>
  <c r="Z60" i="12"/>
  <c r="Z61" i="12"/>
  <c r="Z62" i="12"/>
  <c r="Z63" i="12"/>
  <c r="Z64" i="12"/>
  <c r="Z65" i="12"/>
  <c r="Z66" i="12"/>
  <c r="Z67" i="12"/>
  <c r="Z68" i="12"/>
  <c r="Z69" i="12"/>
  <c r="Z70" i="12"/>
  <c r="Z71" i="12"/>
  <c r="Z72" i="12"/>
  <c r="Z73" i="12"/>
  <c r="Z74" i="12"/>
  <c r="Z75" i="12"/>
  <c r="Z76" i="12"/>
  <c r="Z77" i="12"/>
  <c r="Z78" i="12"/>
  <c r="Z79" i="12"/>
  <c r="Z80" i="12"/>
  <c r="Z81" i="12"/>
  <c r="Z82" i="12"/>
  <c r="Z83" i="12"/>
  <c r="Z84" i="12"/>
  <c r="Z85" i="12"/>
  <c r="Z86" i="12"/>
  <c r="Z87" i="12"/>
  <c r="Z88" i="12"/>
  <c r="Z89" i="12"/>
  <c r="Z90" i="12"/>
  <c r="Z91" i="12"/>
  <c r="Z92" i="12"/>
  <c r="Z93" i="12"/>
  <c r="Z94" i="12"/>
  <c r="Z95" i="12"/>
  <c r="Z96" i="12"/>
  <c r="Z97" i="12"/>
  <c r="Z98" i="12"/>
  <c r="Z99" i="12"/>
  <c r="Z100" i="12"/>
  <c r="Y34" i="12"/>
  <c r="Y35" i="12"/>
  <c r="Y36" i="12"/>
  <c r="Y37" i="12"/>
  <c r="Y38" i="12"/>
  <c r="Y39" i="12"/>
  <c r="Y40" i="12"/>
  <c r="Y41" i="12"/>
  <c r="Y42" i="12"/>
  <c r="Y43" i="12"/>
  <c r="Y44" i="12"/>
  <c r="Y45" i="12"/>
  <c r="Y46" i="12"/>
  <c r="Y47" i="12"/>
  <c r="Y48" i="12"/>
  <c r="Y49" i="12"/>
  <c r="Y50" i="12"/>
  <c r="Y51" i="12"/>
  <c r="Y52" i="12"/>
  <c r="Y53" i="12"/>
  <c r="Y54" i="12"/>
  <c r="Y55" i="12"/>
  <c r="Y56" i="12"/>
  <c r="Y57" i="12"/>
  <c r="Y58" i="12"/>
  <c r="Y59" i="12"/>
  <c r="Y60" i="12"/>
  <c r="Y61" i="12"/>
  <c r="Y62" i="12"/>
  <c r="Y63" i="12"/>
  <c r="Y64" i="12"/>
  <c r="Y65" i="12"/>
  <c r="Y66" i="12"/>
  <c r="Y67" i="12"/>
  <c r="Y68" i="12"/>
  <c r="Y69" i="12"/>
  <c r="Y70" i="12"/>
  <c r="Y71" i="12"/>
  <c r="Y72" i="12"/>
  <c r="Y73" i="12"/>
  <c r="Y74" i="12"/>
  <c r="Y75" i="12"/>
  <c r="Y76" i="12"/>
  <c r="Y77" i="12"/>
  <c r="Y78" i="12"/>
  <c r="Y79" i="12"/>
  <c r="Y80" i="12"/>
  <c r="Y81" i="12"/>
  <c r="Y82" i="12"/>
  <c r="Y83" i="12"/>
  <c r="Y84" i="12"/>
  <c r="Y85" i="12"/>
  <c r="Y86" i="12"/>
  <c r="Y87" i="12"/>
  <c r="Y88" i="12"/>
  <c r="Y89" i="12"/>
  <c r="Y90" i="12"/>
  <c r="Y91" i="12"/>
  <c r="Y92" i="12"/>
  <c r="Y93" i="12"/>
  <c r="Y94" i="12"/>
  <c r="Y95" i="12"/>
  <c r="Y96" i="12"/>
  <c r="Y97" i="12"/>
  <c r="Y98" i="12"/>
  <c r="Y99" i="12"/>
  <c r="Y100" i="12"/>
  <c r="N9" i="9" l="1"/>
  <c r="M9" i="37"/>
  <c r="M10" i="37"/>
  <c r="M11" i="37"/>
  <c r="M12" i="37"/>
  <c r="M13" i="37"/>
  <c r="M14" i="37"/>
  <c r="M15" i="37"/>
  <c r="M16" i="37"/>
  <c r="M17" i="37"/>
  <c r="M18" i="37"/>
  <c r="M19" i="37"/>
  <c r="M20" i="37"/>
  <c r="M21" i="37"/>
  <c r="M22" i="37"/>
  <c r="M23" i="37"/>
  <c r="M24" i="37"/>
  <c r="M25" i="37"/>
  <c r="M26" i="37"/>
  <c r="M27" i="37"/>
  <c r="L9" i="37"/>
  <c r="L10" i="37"/>
  <c r="L11" i="37"/>
  <c r="L12" i="37"/>
  <c r="L13" i="37"/>
  <c r="L14" i="37"/>
  <c r="L15" i="37"/>
  <c r="L16" i="37"/>
  <c r="L17" i="37"/>
  <c r="L18" i="37"/>
  <c r="L19" i="37"/>
  <c r="L20" i="37"/>
  <c r="L21" i="37"/>
  <c r="L22" i="37"/>
  <c r="L23" i="37"/>
  <c r="L24" i="37"/>
  <c r="L25" i="37"/>
  <c r="L26" i="37"/>
  <c r="L27" i="37"/>
  <c r="K9" i="9"/>
  <c r="D7" i="24" l="1"/>
  <c r="D8" i="24"/>
  <c r="D9" i="24"/>
  <c r="D10" i="24"/>
  <c r="H3" i="33" a="1"/>
  <c r="H3" i="33" s="1"/>
  <c r="K3" i="33" s="1" a="1"/>
  <c r="K3" i="33" s="1"/>
  <c r="C5" i="53" l="1"/>
  <c r="C5" i="56"/>
  <c r="C5" i="27"/>
  <c r="C5" i="39"/>
  <c r="R5" i="24" l="1"/>
  <c r="R7" i="24"/>
  <c r="R8" i="24"/>
  <c r="R9" i="24"/>
  <c r="R10" i="24"/>
  <c r="C5" i="41"/>
  <c r="E45" i="41"/>
  <c r="H39" i="41"/>
  <c r="H36" i="41"/>
  <c r="H35" i="41"/>
  <c r="H34" i="41"/>
  <c r="H33" i="41"/>
  <c r="H31" i="41"/>
  <c r="H28" i="41"/>
  <c r="H27" i="41"/>
  <c r="H26" i="41"/>
  <c r="H25" i="41"/>
  <c r="H23" i="41"/>
  <c r="H20" i="41"/>
  <c r="H19" i="41"/>
  <c r="H18" i="41"/>
  <c r="H17" i="41"/>
  <c r="H12" i="41"/>
  <c r="H24" i="41" s="1"/>
  <c r="H11" i="41"/>
  <c r="H10" i="41"/>
  <c r="H38" i="41" s="1"/>
  <c r="H9" i="41"/>
  <c r="H21" i="41" s="1"/>
  <c r="H52" i="52"/>
  <c r="H47" i="52"/>
  <c r="H46" i="52"/>
  <c r="H45" i="52"/>
  <c r="H37" i="52"/>
  <c r="H38" i="52"/>
  <c r="H35" i="52"/>
  <c r="H34" i="52"/>
  <c r="H33" i="52"/>
  <c r="H28" i="52"/>
  <c r="H22" i="52"/>
  <c r="H9" i="52"/>
  <c r="H12" i="52" s="1"/>
  <c r="H15" i="52" s="1"/>
  <c r="H43" i="52" s="1"/>
  <c r="H23" i="52"/>
  <c r="H21" i="52"/>
  <c r="H21" i="39"/>
  <c r="H37" i="39" s="1"/>
  <c r="H10" i="52"/>
  <c r="H50" i="52" s="1"/>
  <c r="H8" i="52"/>
  <c r="H11" i="52" s="1"/>
  <c r="H49" i="39"/>
  <c r="H48" i="39"/>
  <c r="H47" i="39"/>
  <c r="H41" i="39"/>
  <c r="H40" i="39"/>
  <c r="H39" i="39"/>
  <c r="H22" i="39"/>
  <c r="H38" i="39" s="1"/>
  <c r="H23" i="39"/>
  <c r="H24" i="39"/>
  <c r="H25" i="39"/>
  <c r="H26" i="39"/>
  <c r="H42" i="39" s="1"/>
  <c r="H27" i="39"/>
  <c r="H43" i="39" s="1"/>
  <c r="H28" i="39"/>
  <c r="H44" i="39" s="1"/>
  <c r="H29" i="39"/>
  <c r="H45" i="39" s="1"/>
  <c r="H30" i="39"/>
  <c r="H46" i="39" s="1"/>
  <c r="H31" i="39"/>
  <c r="H32" i="39"/>
  <c r="H33" i="39"/>
  <c r="H34" i="39"/>
  <c r="H50" i="39" s="1"/>
  <c r="H35" i="39"/>
  <c r="H51" i="39" s="1"/>
  <c r="H36" i="39"/>
  <c r="H52" i="39" s="1"/>
  <c r="H37" i="53"/>
  <c r="H36" i="53"/>
  <c r="H18" i="53"/>
  <c r="H30" i="53" s="1"/>
  <c r="H19" i="53"/>
  <c r="H31" i="53" s="1"/>
  <c r="H20" i="53"/>
  <c r="H32" i="53" s="1"/>
  <c r="H21" i="53"/>
  <c r="H33" i="53" s="1"/>
  <c r="H22" i="53"/>
  <c r="H34" i="53" s="1"/>
  <c r="H23" i="53"/>
  <c r="H35" i="53" s="1"/>
  <c r="H24" i="53"/>
  <c r="H25" i="53"/>
  <c r="H26" i="53"/>
  <c r="H38" i="53" s="1"/>
  <c r="H27" i="53"/>
  <c r="H39" i="53" s="1"/>
  <c r="H28" i="53"/>
  <c r="H40" i="53" s="1"/>
  <c r="H17" i="53"/>
  <c r="H29" i="53" s="1"/>
  <c r="I69" i="52" a="1"/>
  <c r="I69" i="52" s="1"/>
  <c r="H70" i="52" a="1"/>
  <c r="H70" i="52" s="1"/>
  <c r="I70" i="52" s="1" a="1"/>
  <c r="I70" i="52" s="1"/>
  <c r="F53" i="53"/>
  <c r="H69" i="52" a="1"/>
  <c r="H69" i="52" s="1"/>
  <c r="F52" i="53"/>
  <c r="F51" i="53"/>
  <c r="F50" i="53"/>
  <c r="H66" i="52" a="1"/>
  <c r="H66" i="52" s="1"/>
  <c r="I66" i="52" s="1" a="1"/>
  <c r="I66" i="52" s="1"/>
  <c r="F49" i="53"/>
  <c r="F48" i="53"/>
  <c r="F47" i="53"/>
  <c r="F46" i="53"/>
  <c r="F45" i="53"/>
  <c r="H62" i="52" a="1"/>
  <c r="H62" i="52" s="1"/>
  <c r="I62" i="52" s="1" a="1"/>
  <c r="I62" i="52" s="1"/>
  <c r="H61" i="52" a="1"/>
  <c r="H61" i="52" s="1"/>
  <c r="I61" i="52" s="1" a="1"/>
  <c r="I61" i="52" s="1"/>
  <c r="E18" i="53"/>
  <c r="E19" i="53"/>
  <c r="E20" i="53"/>
  <c r="E21" i="53"/>
  <c r="E22" i="53"/>
  <c r="E23" i="53"/>
  <c r="E24" i="53"/>
  <c r="E25" i="53"/>
  <c r="E26" i="53"/>
  <c r="E27" i="53"/>
  <c r="E28" i="53"/>
  <c r="E30" i="53"/>
  <c r="E31" i="53"/>
  <c r="E32" i="53"/>
  <c r="E33" i="53"/>
  <c r="E34" i="53"/>
  <c r="E35" i="53"/>
  <c r="E36" i="53"/>
  <c r="E37" i="53"/>
  <c r="E38" i="53"/>
  <c r="E39" i="53"/>
  <c r="E40" i="53"/>
  <c r="G70" i="52"/>
  <c r="G66" i="52"/>
  <c r="G62" i="52"/>
  <c r="F71" i="52"/>
  <c r="F72" i="52"/>
  <c r="F70" i="52"/>
  <c r="F69" i="52"/>
  <c r="F68" i="52"/>
  <c r="F67" i="52"/>
  <c r="F66" i="52"/>
  <c r="F65" i="52"/>
  <c r="H65" i="52" s="1" a="1"/>
  <c r="H65" i="52" s="1"/>
  <c r="I65" i="52" s="1" a="1"/>
  <c r="I65" i="52" s="1"/>
  <c r="F64" i="52"/>
  <c r="F63" i="52"/>
  <c r="F62" i="52"/>
  <c r="F61" i="52"/>
  <c r="H46" i="56"/>
  <c r="H47" i="56"/>
  <c r="H48" i="56"/>
  <c r="H49" i="56"/>
  <c r="H50" i="56"/>
  <c r="H51" i="56"/>
  <c r="H52" i="56"/>
  <c r="H53" i="56"/>
  <c r="H54" i="56"/>
  <c r="H55" i="56"/>
  <c r="H56" i="56"/>
  <c r="H57" i="56"/>
  <c r="H58" i="56"/>
  <c r="H59" i="56"/>
  <c r="H60" i="56"/>
  <c r="H61" i="56"/>
  <c r="H62" i="56"/>
  <c r="H63" i="56"/>
  <c r="H64" i="56"/>
  <c r="H45" i="56"/>
  <c r="H26" i="56"/>
  <c r="H27" i="56"/>
  <c r="H28" i="56"/>
  <c r="H29" i="56"/>
  <c r="H30" i="56"/>
  <c r="H31" i="56"/>
  <c r="H32" i="56"/>
  <c r="H33" i="56"/>
  <c r="H34" i="56"/>
  <c r="H35" i="56"/>
  <c r="H36" i="56"/>
  <c r="H37" i="56"/>
  <c r="H38" i="56"/>
  <c r="H39" i="56"/>
  <c r="H40" i="56"/>
  <c r="H41" i="56"/>
  <c r="H42" i="56"/>
  <c r="H43" i="56"/>
  <c r="H44" i="56"/>
  <c r="H25" i="56"/>
  <c r="F77" i="56"/>
  <c r="F76" i="56"/>
  <c r="F75" i="56"/>
  <c r="F74" i="56"/>
  <c r="F73" i="56"/>
  <c r="F72" i="56"/>
  <c r="F71" i="56"/>
  <c r="F70" i="56"/>
  <c r="F69" i="56"/>
  <c r="E76" i="56"/>
  <c r="E75" i="56"/>
  <c r="E72" i="56"/>
  <c r="E69" i="56"/>
  <c r="E70" i="56"/>
  <c r="E78" i="52" l="1"/>
  <c r="F78" i="52" s="1" a="1"/>
  <c r="F78" i="52" s="1"/>
  <c r="E77" i="52"/>
  <c r="F77" i="52" s="1" a="1"/>
  <c r="F77" i="52" s="1"/>
  <c r="E79" i="52"/>
  <c r="F79" i="52" s="1" a="1"/>
  <c r="F79" i="52" s="1"/>
  <c r="D84" i="52" s="1" a="1"/>
  <c r="D84" i="52" s="1"/>
  <c r="H39" i="52"/>
  <c r="H27" i="52"/>
  <c r="H14" i="52"/>
  <c r="H51" i="52"/>
  <c r="H55" i="52"/>
  <c r="H36" i="52"/>
  <c r="H26" i="52"/>
  <c r="H40" i="52"/>
  <c r="H49" i="52"/>
  <c r="H24" i="52"/>
  <c r="H48" i="52"/>
  <c r="H13" i="52"/>
  <c r="H31" i="52"/>
  <c r="H25" i="52"/>
  <c r="H40" i="41"/>
  <c r="H32" i="41"/>
  <c r="H37" i="41"/>
  <c r="H29" i="41"/>
  <c r="H22" i="41"/>
  <c r="H30" i="41"/>
  <c r="D46" i="53"/>
  <c r="G46" i="53" s="1" a="1"/>
  <c r="G46" i="53" s="1"/>
  <c r="H46" i="53" s="1" a="1"/>
  <c r="H46" i="53" s="1"/>
  <c r="H35" i="27"/>
  <c r="H36" i="27"/>
  <c r="H37" i="27"/>
  <c r="H38" i="27"/>
  <c r="H39" i="27"/>
  <c r="H40" i="27"/>
  <c r="H41" i="27"/>
  <c r="H42" i="27"/>
  <c r="H43" i="27"/>
  <c r="H44" i="27"/>
  <c r="H45" i="27"/>
  <c r="H46" i="27"/>
  <c r="H47" i="27"/>
  <c r="H48" i="27"/>
  <c r="H34" i="27"/>
  <c r="H11" i="27"/>
  <c r="H12" i="27"/>
  <c r="H13" i="27"/>
  <c r="H14" i="27"/>
  <c r="H10" i="27"/>
  <c r="F58" i="27"/>
  <c r="F57" i="27"/>
  <c r="F56" i="27"/>
  <c r="F55" i="27"/>
  <c r="F54" i="27"/>
  <c r="F53" i="27"/>
  <c r="E57" i="27"/>
  <c r="E58" i="27"/>
  <c r="E56" i="27"/>
  <c r="E55" i="27"/>
  <c r="E54" i="27"/>
  <c r="E53" i="27"/>
  <c r="F69" i="39"/>
  <c r="F68" i="39"/>
  <c r="F67" i="39"/>
  <c r="F66" i="39"/>
  <c r="F65" i="39"/>
  <c r="F64" i="39"/>
  <c r="F63" i="39"/>
  <c r="F62" i="39"/>
  <c r="F61" i="39"/>
  <c r="F60" i="39"/>
  <c r="F59" i="39"/>
  <c r="F58" i="39"/>
  <c r="F52" i="41"/>
  <c r="F51" i="41"/>
  <c r="F50" i="41"/>
  <c r="F49" i="41"/>
  <c r="F48" i="41"/>
  <c r="F47" i="41"/>
  <c r="F46" i="41"/>
  <c r="F45" i="41"/>
  <c r="C17" i="41"/>
  <c r="H53" i="52" l="1"/>
  <c r="H29" i="52"/>
  <c r="H16" i="52"/>
  <c r="H41" i="52"/>
  <c r="H30" i="52"/>
  <c r="H42" i="52"/>
  <c r="H54" i="52"/>
  <c r="D47" i="53"/>
  <c r="G47" i="53" s="1" a="1"/>
  <c r="G47" i="53" s="1"/>
  <c r="H47" i="53" s="1" a="1"/>
  <c r="H47" i="53" s="1"/>
  <c r="E17" i="41"/>
  <c r="H56" i="52" l="1"/>
  <c r="H44" i="52"/>
  <c r="H32" i="52"/>
  <c r="D5" i="33" l="1"/>
  <c r="D6" i="33"/>
  <c r="D7" i="33"/>
  <c r="D8" i="33"/>
  <c r="C5" i="33"/>
  <c r="C6" i="33"/>
  <c r="C7" i="33"/>
  <c r="C8" i="33"/>
  <c r="B5" i="33"/>
  <c r="B6" i="33"/>
  <c r="B7" i="33"/>
  <c r="B8" i="33"/>
  <c r="A5" i="33"/>
  <c r="A6" i="33"/>
  <c r="A7" i="33"/>
  <c r="A8" i="33"/>
  <c r="C5" i="52" l="1"/>
  <c r="C77" i="52" s="1"/>
  <c r="C84" i="52" s="1"/>
  <c r="E19" i="27"/>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18" i="41"/>
  <c r="E19" i="41" s="1"/>
  <c r="E20" i="41" s="1"/>
  <c r="E21" i="41" s="1"/>
  <c r="E22" i="41" s="1"/>
  <c r="E23" i="41" s="1"/>
  <c r="E24" i="41" s="1"/>
  <c r="E25" i="41" s="1"/>
  <c r="E26" i="41" s="1"/>
  <c r="E27" i="41" s="1"/>
  <c r="E28" i="41" s="1"/>
  <c r="E6" i="41"/>
  <c r="E53" i="53"/>
  <c r="E52" i="53"/>
  <c r="E51" i="53"/>
  <c r="D60" i="53" s="1"/>
  <c r="E50" i="53"/>
  <c r="E49" i="53"/>
  <c r="E48" i="53"/>
  <c r="D59" i="53" s="1"/>
  <c r="E47" i="53"/>
  <c r="E46" i="53"/>
  <c r="E45" i="53"/>
  <c r="E77" i="56"/>
  <c r="D84" i="56"/>
  <c r="E74" i="56"/>
  <c r="E73" i="56"/>
  <c r="D83" i="56"/>
  <c r="E71" i="56"/>
  <c r="E72" i="52"/>
  <c r="E71" i="52"/>
  <c r="E70" i="52"/>
  <c r="E69" i="52"/>
  <c r="D79" i="52" s="1"/>
  <c r="E68" i="52"/>
  <c r="E67" i="52"/>
  <c r="E66" i="52"/>
  <c r="E64" i="52"/>
  <c r="D72" i="52"/>
  <c r="D71" i="52"/>
  <c r="D70" i="52"/>
  <c r="D69" i="52"/>
  <c r="D68" i="52"/>
  <c r="D67" i="52"/>
  <c r="D66" i="52"/>
  <c r="D65" i="52"/>
  <c r="D64" i="52"/>
  <c r="D63" i="52"/>
  <c r="D62" i="52"/>
  <c r="D61" i="52"/>
  <c r="E65" i="52"/>
  <c r="D78" i="52" s="1"/>
  <c r="E63" i="52"/>
  <c r="E62" i="52"/>
  <c r="E61" i="52"/>
  <c r="D77" i="52" s="1"/>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C18" i="41"/>
  <c r="C19" i="41" s="1"/>
  <c r="C20" i="41" s="1"/>
  <c r="C21" i="41" s="1"/>
  <c r="C22" i="41" s="1"/>
  <c r="C23" i="41" s="1"/>
  <c r="C24" i="41" s="1"/>
  <c r="C25" i="41" s="1"/>
  <c r="C26" i="41" s="1"/>
  <c r="C27" i="41" s="1"/>
  <c r="C28" i="41" s="1"/>
  <c r="C29" i="41" s="1"/>
  <c r="C30" i="41" s="1"/>
  <c r="C31" i="41" s="1"/>
  <c r="C32" i="41" s="1"/>
  <c r="C33" i="41" s="1"/>
  <c r="C34" i="41" s="1"/>
  <c r="C35" i="41" s="1"/>
  <c r="C36" i="41" s="1"/>
  <c r="C37" i="41" s="1"/>
  <c r="C38" i="41" s="1"/>
  <c r="C39" i="41" s="1"/>
  <c r="C40" i="41" s="1"/>
  <c r="E7" i="41" l="1"/>
  <c r="E8" i="41" s="1"/>
  <c r="D51" i="41" s="1"/>
  <c r="D45" i="41"/>
  <c r="E63" i="27" a="1"/>
  <c r="E63" i="27" s="1"/>
  <c r="F63" i="27" s="1" a="1"/>
  <c r="F63" i="27" s="1"/>
  <c r="E7" i="27"/>
  <c r="E8" i="27" s="1"/>
  <c r="D57" i="27" s="1"/>
  <c r="G45" i="41" a="1"/>
  <c r="G45" i="41" s="1"/>
  <c r="H45" i="41" s="1" a="1"/>
  <c r="H45" i="41" s="1"/>
  <c r="AE32" i="52"/>
  <c r="C6" i="41"/>
  <c r="C7" i="41" s="1"/>
  <c r="C8" i="41" s="1"/>
  <c r="C9" i="41" s="1"/>
  <c r="C10" i="41" s="1"/>
  <c r="C11" i="41" s="1"/>
  <c r="C12" i="41" s="1"/>
  <c r="C52" i="41" s="1"/>
  <c r="C6" i="52"/>
  <c r="C78" i="52" s="1"/>
  <c r="C21" i="52"/>
  <c r="C22" i="52" s="1"/>
  <c r="C23" i="52" s="1"/>
  <c r="C24" i="52" s="1"/>
  <c r="C25" i="52" s="1"/>
  <c r="C26" i="52" s="1"/>
  <c r="C27" i="52" s="1"/>
  <c r="C28" i="52" s="1"/>
  <c r="C29" i="52" s="1"/>
  <c r="C30" i="52" s="1"/>
  <c r="C31" i="52" s="1"/>
  <c r="C32" i="52" s="1"/>
  <c r="C33" i="52" s="1"/>
  <c r="C34" i="52" s="1"/>
  <c r="C35" i="52" s="1"/>
  <c r="C36" i="52" s="1"/>
  <c r="C37" i="52" s="1"/>
  <c r="C38" i="52" s="1"/>
  <c r="C39" i="52" s="1"/>
  <c r="C40" i="52" s="1"/>
  <c r="C41" i="52" s="1"/>
  <c r="C42" i="52" s="1"/>
  <c r="C43" i="52" s="1"/>
  <c r="C44" i="52" s="1"/>
  <c r="C45" i="52" s="1"/>
  <c r="C46" i="52" s="1"/>
  <c r="C47" i="52" s="1"/>
  <c r="C48" i="52" s="1"/>
  <c r="C49" i="52" s="1"/>
  <c r="C50" i="52" s="1"/>
  <c r="C51" i="52" s="1"/>
  <c r="C52" i="52" s="1"/>
  <c r="C53" i="52" s="1"/>
  <c r="C54" i="52" s="1"/>
  <c r="C55" i="52" s="1"/>
  <c r="C56" i="52" s="1"/>
  <c r="AE33" i="52"/>
  <c r="AF23" i="52"/>
  <c r="AF26" i="52"/>
  <c r="AE25" i="52"/>
  <c r="AF20" i="52"/>
  <c r="AE28" i="52"/>
  <c r="AE22" i="52"/>
  <c r="AE34" i="52"/>
  <c r="D47" i="41"/>
  <c r="C53" i="27"/>
  <c r="C63" i="27" s="1"/>
  <c r="C70" i="27" s="1"/>
  <c r="C54" i="27"/>
  <c r="C56" i="27"/>
  <c r="C55" i="27"/>
  <c r="C64" i="27" s="1"/>
  <c r="C58" i="27"/>
  <c r="C57" i="27"/>
  <c r="C65" i="27" s="1"/>
  <c r="C19" i="27"/>
  <c r="C61" i="52"/>
  <c r="D58" i="53"/>
  <c r="C45" i="41"/>
  <c r="D46" i="41"/>
  <c r="G46" i="41" s="1" a="1"/>
  <c r="G46" i="41" s="1"/>
  <c r="H46" i="41" s="1" a="1"/>
  <c r="H46" i="41" s="1"/>
  <c r="D48" i="41"/>
  <c r="G48" i="41" s="1" a="1"/>
  <c r="G48" i="41" s="1"/>
  <c r="H48" i="41" s="1" a="1"/>
  <c r="H48" i="41" s="1"/>
  <c r="D50" i="41"/>
  <c r="G50" i="41" s="1" a="1"/>
  <c r="G50" i="41" s="1"/>
  <c r="H50" i="41" s="1" a="1"/>
  <c r="H50" i="41" s="1"/>
  <c r="D52" i="41"/>
  <c r="G52" i="41" s="1" a="1"/>
  <c r="G52" i="41" s="1"/>
  <c r="H52" i="41" s="1" a="1"/>
  <c r="H52" i="41" s="1"/>
  <c r="E52" i="41"/>
  <c r="E51" i="41"/>
  <c r="D60" i="41" s="1"/>
  <c r="E50" i="41"/>
  <c r="E49" i="41"/>
  <c r="D59" i="41" s="1"/>
  <c r="E48" i="41"/>
  <c r="E47" i="41"/>
  <c r="D58" i="41" s="1"/>
  <c r="E46" i="41"/>
  <c r="D57" i="41"/>
  <c r="D82" i="56"/>
  <c r="D63" i="27"/>
  <c r="E46" i="56"/>
  <c r="E26" i="56"/>
  <c r="D70" i="56" s="1"/>
  <c r="G70" i="56" s="1" a="1"/>
  <c r="G70" i="56" s="1"/>
  <c r="H70" i="56" s="1" a="1"/>
  <c r="H70" i="56" s="1"/>
  <c r="E6" i="56"/>
  <c r="D69" i="56" s="1"/>
  <c r="G69" i="56" s="1" a="1"/>
  <c r="G69" i="56" s="1"/>
  <c r="H69" i="56" s="1" a="1"/>
  <c r="H69" i="56" s="1"/>
  <c r="C69" i="56"/>
  <c r="C82" i="56" s="1"/>
  <c r="C89" i="56" s="1"/>
  <c r="D53" i="53"/>
  <c r="G53" i="53" s="1" a="1"/>
  <c r="G53" i="53" s="1"/>
  <c r="H53" i="53" s="1" a="1"/>
  <c r="H53" i="53" s="1"/>
  <c r="D50" i="53"/>
  <c r="G50" i="53" s="1" a="1"/>
  <c r="G50" i="53" s="1"/>
  <c r="H50" i="53" s="1" a="1"/>
  <c r="H50" i="53" s="1"/>
  <c r="D52" i="53"/>
  <c r="G52" i="53" s="1" a="1"/>
  <c r="G52" i="53" s="1"/>
  <c r="H52" i="53" s="1" a="1"/>
  <c r="H52" i="53" s="1"/>
  <c r="D49" i="53"/>
  <c r="G49" i="53" s="1" a="1"/>
  <c r="G49" i="53" s="1"/>
  <c r="H49" i="53" s="1" a="1"/>
  <c r="H49" i="53" s="1"/>
  <c r="E6" i="53"/>
  <c r="C58" i="39"/>
  <c r="C74" i="39" s="1"/>
  <c r="C82" i="39" s="1"/>
  <c r="E58" i="39"/>
  <c r="D74" i="39" s="1"/>
  <c r="E59" i="39"/>
  <c r="E60" i="39"/>
  <c r="E61" i="39"/>
  <c r="D75" i="39" s="1"/>
  <c r="E62" i="39"/>
  <c r="E63" i="39"/>
  <c r="E64" i="39"/>
  <c r="D76" i="39" s="1"/>
  <c r="E65" i="39"/>
  <c r="E66" i="39"/>
  <c r="E67" i="39"/>
  <c r="D77" i="39" s="1"/>
  <c r="E68" i="39"/>
  <c r="E69" i="39"/>
  <c r="E52" i="39"/>
  <c r="E51" i="39"/>
  <c r="E50" i="39"/>
  <c r="E49" i="39"/>
  <c r="E48" i="39"/>
  <c r="E47" i="39"/>
  <c r="E46" i="39"/>
  <c r="E45" i="39"/>
  <c r="E44" i="39"/>
  <c r="E43" i="39"/>
  <c r="E42" i="39"/>
  <c r="E41" i="39"/>
  <c r="E40" i="39"/>
  <c r="D69" i="39" s="1"/>
  <c r="G69" i="39" s="1" a="1"/>
  <c r="G69" i="39" s="1"/>
  <c r="H69" i="39" s="1" a="1"/>
  <c r="H69" i="39" s="1"/>
  <c r="E39" i="39"/>
  <c r="D66" i="39" s="1"/>
  <c r="G66" i="39" s="1" a="1"/>
  <c r="G66" i="39" s="1"/>
  <c r="H66" i="39" s="1" a="1"/>
  <c r="H66" i="39" s="1"/>
  <c r="E38" i="39"/>
  <c r="E36" i="39"/>
  <c r="E35" i="39"/>
  <c r="E34" i="39"/>
  <c r="E33" i="39"/>
  <c r="E32" i="39"/>
  <c r="E31" i="39"/>
  <c r="E30" i="39"/>
  <c r="E29" i="39"/>
  <c r="E28" i="39"/>
  <c r="E27" i="39"/>
  <c r="E26" i="39"/>
  <c r="E25" i="39"/>
  <c r="E24" i="39"/>
  <c r="D68" i="39" s="1"/>
  <c r="G68" i="39" s="1" a="1"/>
  <c r="G68" i="39" s="1"/>
  <c r="H68" i="39" s="1" a="1"/>
  <c r="H68" i="39" s="1"/>
  <c r="E23" i="39"/>
  <c r="D65" i="39" s="1"/>
  <c r="G65" i="39" s="1" a="1"/>
  <c r="G65" i="39" s="1"/>
  <c r="H65" i="39" s="1" a="1"/>
  <c r="H65" i="39" s="1"/>
  <c r="E22" i="39"/>
  <c r="E8" i="39"/>
  <c r="E9" i="39" s="1"/>
  <c r="E7" i="39"/>
  <c r="D64" i="39" s="1"/>
  <c r="G64" i="39" s="1" a="1"/>
  <c r="G64" i="39" s="1"/>
  <c r="H64" i="39" s="1" a="1"/>
  <c r="H64" i="39" s="1"/>
  <c r="E6" i="39"/>
  <c r="E57" i="41" l="1" a="1"/>
  <c r="E57" i="41" s="1"/>
  <c r="F57" i="41" s="1" a="1"/>
  <c r="F57" i="41" s="1"/>
  <c r="C6" i="53"/>
  <c r="C7" i="53" s="1"/>
  <c r="C8" i="53" s="1"/>
  <c r="C45" i="53"/>
  <c r="C58" i="53" s="1"/>
  <c r="C65" i="53" s="1"/>
  <c r="D49" i="41"/>
  <c r="G49" i="41" s="1" a="1"/>
  <c r="G49" i="41" s="1"/>
  <c r="H49" i="41" s="1" a="1"/>
  <c r="H49" i="41" s="1"/>
  <c r="D63" i="39"/>
  <c r="G63" i="39" s="1" a="1"/>
  <c r="G63" i="39" s="1"/>
  <c r="H63" i="39" s="1" a="1"/>
  <c r="H63" i="39" s="1"/>
  <c r="D60" i="39"/>
  <c r="G60" i="39" s="1" a="1"/>
  <c r="G60" i="39" s="1"/>
  <c r="H60" i="39" s="1" a="1"/>
  <c r="H60" i="39" s="1"/>
  <c r="D62" i="39"/>
  <c r="G62" i="39" s="1" a="1"/>
  <c r="G62" i="39" s="1"/>
  <c r="H62" i="39" s="1" a="1"/>
  <c r="H62" i="39" s="1"/>
  <c r="D59" i="39"/>
  <c r="G59" i="39" s="1" a="1"/>
  <c r="G59" i="39" s="1"/>
  <c r="H59" i="39" s="1" a="1"/>
  <c r="H59" i="39" s="1"/>
  <c r="D61" i="39"/>
  <c r="G61" i="39" s="1" a="1"/>
  <c r="G61" i="39" s="1"/>
  <c r="H61" i="39" s="1" a="1"/>
  <c r="H61" i="39" s="1"/>
  <c r="D58" i="39"/>
  <c r="G58" i="39" s="1" a="1"/>
  <c r="G58" i="39" s="1"/>
  <c r="H58" i="39" s="1" a="1"/>
  <c r="H58" i="39" s="1"/>
  <c r="E7" i="53"/>
  <c r="E8" i="53" s="1"/>
  <c r="D45" i="53"/>
  <c r="E76" i="39"/>
  <c r="F76" i="39" s="1" a="1"/>
  <c r="F76" i="39" s="1"/>
  <c r="E47" i="56"/>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G51" i="41" a="1"/>
  <c r="G51" i="41" s="1"/>
  <c r="H51" i="41" s="1" a="1"/>
  <c r="H51" i="41" s="1"/>
  <c r="E60" i="41" s="1" a="1"/>
  <c r="E60" i="41" s="1"/>
  <c r="F60" i="41" s="1" a="1"/>
  <c r="F60" i="41" s="1"/>
  <c r="G47" i="41" a="1"/>
  <c r="G47" i="41" s="1"/>
  <c r="H47" i="41" s="1" a="1"/>
  <c r="H47" i="41" s="1"/>
  <c r="E58" i="41" s="1" a="1"/>
  <c r="E58" i="41" s="1"/>
  <c r="F58" i="41" s="1" a="1"/>
  <c r="F58" i="41" s="1"/>
  <c r="C47" i="41"/>
  <c r="C57" i="41" s="1"/>
  <c r="C65" i="41" s="1"/>
  <c r="C67" i="52"/>
  <c r="C46" i="41"/>
  <c r="C50" i="41"/>
  <c r="C60" i="41" s="1"/>
  <c r="C51" i="41" s="1"/>
  <c r="C49" i="41"/>
  <c r="C59" i="41" s="1"/>
  <c r="C48" i="41"/>
  <c r="C58" i="41" s="1"/>
  <c r="C72" i="52"/>
  <c r="C65" i="52"/>
  <c r="C71" i="52"/>
  <c r="C70" i="52"/>
  <c r="C64" i="52"/>
  <c r="C69" i="52"/>
  <c r="C63" i="52"/>
  <c r="C62" i="52"/>
  <c r="C7" i="52"/>
  <c r="D74" i="56"/>
  <c r="G74" i="56" s="1" a="1"/>
  <c r="G74" i="56" s="1"/>
  <c r="H74" i="56" s="1" a="1"/>
  <c r="H74" i="56" s="1"/>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67" i="39"/>
  <c r="C6" i="39"/>
  <c r="C7" i="39" s="1"/>
  <c r="C8" i="39" s="1"/>
  <c r="C9" i="39" s="1"/>
  <c r="C10" i="39" s="1"/>
  <c r="C11" i="39" s="1"/>
  <c r="C12" i="39" s="1"/>
  <c r="C13" i="39" s="1"/>
  <c r="C14" i="39" s="1"/>
  <c r="C15" i="39" s="1"/>
  <c r="C16" i="39" s="1"/>
  <c r="C17" i="39" s="1"/>
  <c r="C18" i="39" s="1"/>
  <c r="C19" i="39" s="1"/>
  <c r="C20" i="39" s="1"/>
  <c r="C21" i="39" s="1"/>
  <c r="C22" i="39" s="1"/>
  <c r="C23" i="39" s="1"/>
  <c r="C24" i="39" s="1"/>
  <c r="C25" i="39" s="1"/>
  <c r="C26" i="39" s="1"/>
  <c r="C27" i="39" s="1"/>
  <c r="C28" i="39" s="1"/>
  <c r="C29" i="39" s="1"/>
  <c r="C30" i="39" s="1"/>
  <c r="C31" i="39" s="1"/>
  <c r="C32" i="39" s="1"/>
  <c r="C33" i="39" s="1"/>
  <c r="C34" i="39" s="1"/>
  <c r="C35" i="39" s="1"/>
  <c r="C36" i="39" s="1"/>
  <c r="C37" i="39" s="1"/>
  <c r="C38" i="39" s="1"/>
  <c r="C39" i="39" s="1"/>
  <c r="C40" i="39" s="1"/>
  <c r="C41" i="39" s="1"/>
  <c r="C42" i="39" s="1"/>
  <c r="C43" i="39" s="1"/>
  <c r="C44" i="39" s="1"/>
  <c r="C45" i="39" s="1"/>
  <c r="C46" i="39" s="1"/>
  <c r="C47" i="39" s="1"/>
  <c r="C48" i="39" s="1"/>
  <c r="C49" i="39" s="1"/>
  <c r="C50" i="39" s="1"/>
  <c r="C51" i="39" s="1"/>
  <c r="C52" i="39" s="1"/>
  <c r="E11" i="39"/>
  <c r="E10" i="39"/>
  <c r="C9" i="53" l="1"/>
  <c r="C10" i="53" s="1"/>
  <c r="C11" i="53" s="1"/>
  <c r="C46" i="53"/>
  <c r="C59" i="53" s="1"/>
  <c r="D65" i="41" a="1"/>
  <c r="D65" i="41" s="1"/>
  <c r="E59" i="41" a="1"/>
  <c r="E59" i="41" s="1"/>
  <c r="F59" i="41" s="1" a="1"/>
  <c r="F59" i="41" s="1"/>
  <c r="E74" i="39"/>
  <c r="F74" i="39" s="1" a="1"/>
  <c r="F74" i="39" s="1"/>
  <c r="E75" i="39"/>
  <c r="F75" i="39" s="1" a="1"/>
  <c r="F75" i="39" s="1"/>
  <c r="G45" i="53" a="1"/>
  <c r="G45" i="53" s="1"/>
  <c r="H45" i="53" s="1" a="1"/>
  <c r="H45" i="53" s="1"/>
  <c r="E58" i="53" s="1"/>
  <c r="F58" i="53" s="1" a="1"/>
  <c r="F58" i="53" s="1"/>
  <c r="E9" i="53"/>
  <c r="E10" i="53" s="1"/>
  <c r="E11" i="53" s="1"/>
  <c r="E12" i="53" s="1"/>
  <c r="E13" i="53" s="1"/>
  <c r="E14" i="53" s="1"/>
  <c r="E15" i="53" s="1"/>
  <c r="E16" i="53" s="1"/>
  <c r="D48" i="53"/>
  <c r="G48" i="53" s="1" a="1"/>
  <c r="G48" i="53" s="1"/>
  <c r="H48" i="53" s="1" a="1"/>
  <c r="H48" i="53" s="1"/>
  <c r="E59" i="53" s="1"/>
  <c r="F59" i="53" s="1" a="1"/>
  <c r="F59" i="53" s="1"/>
  <c r="E83" i="56"/>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G67" i="39" a="1"/>
  <c r="G67" i="39" s="1"/>
  <c r="H67" i="39" s="1" a="1"/>
  <c r="H67" i="39" s="1"/>
  <c r="C79" i="52"/>
  <c r="C8" i="52"/>
  <c r="C21" i="27"/>
  <c r="E8" i="56"/>
  <c r="D75" i="56" s="1"/>
  <c r="G75" i="56" s="1" a="1"/>
  <c r="G75" i="56" s="1"/>
  <c r="H75" i="56" s="1" a="1"/>
  <c r="H75" i="56" s="1"/>
  <c r="E28" i="56"/>
  <c r="C61" i="39"/>
  <c r="C77" i="39" s="1"/>
  <c r="E13" i="39"/>
  <c r="E12" i="39"/>
  <c r="E14" i="39"/>
  <c r="C12" i="53" l="1"/>
  <c r="C13" i="53" s="1"/>
  <c r="C14" i="53" s="1"/>
  <c r="C47" i="53"/>
  <c r="C60" i="53" s="1"/>
  <c r="E77" i="39"/>
  <c r="F77" i="39" s="1" a="1"/>
  <c r="F77" i="39" s="1"/>
  <c r="D82" i="39" s="1" a="1"/>
  <c r="D82" i="39" s="1"/>
  <c r="C9" i="52"/>
  <c r="C10" i="52" s="1"/>
  <c r="C11" i="52" s="1"/>
  <c r="C66" i="52"/>
  <c r="C22" i="27"/>
  <c r="D51" i="53"/>
  <c r="G51" i="53" s="1" a="1"/>
  <c r="G51" i="53" s="1"/>
  <c r="H51" i="53" s="1" a="1"/>
  <c r="H51" i="53" s="1"/>
  <c r="E60" i="53" s="1"/>
  <c r="F60" i="53" s="1" a="1"/>
  <c r="F60" i="53" s="1"/>
  <c r="D65" i="53" s="1" a="1"/>
  <c r="D65" i="53" s="1"/>
  <c r="E29" i="56"/>
  <c r="E9" i="56"/>
  <c r="E10" i="56" s="1"/>
  <c r="E11" i="56" s="1"/>
  <c r="E12" i="56" s="1"/>
  <c r="E13" i="56" s="1"/>
  <c r="E14" i="56" s="1"/>
  <c r="E15" i="56" s="1"/>
  <c r="E16" i="56" s="1"/>
  <c r="E17" i="56" s="1"/>
  <c r="E18" i="56" s="1"/>
  <c r="E19" i="56" s="1"/>
  <c r="E20" i="56" s="1"/>
  <c r="E21" i="56" s="1"/>
  <c r="E22" i="56" s="1"/>
  <c r="E23" i="56" s="1"/>
  <c r="E24" i="56" s="1"/>
  <c r="C64" i="39"/>
  <c r="E15" i="39"/>
  <c r="E16" i="39"/>
  <c r="E17" i="39"/>
  <c r="C15" i="53" l="1"/>
  <c r="C16" i="53" s="1"/>
  <c r="C17" i="53" s="1"/>
  <c r="C48" i="53"/>
  <c r="C12" i="52"/>
  <c r="C13" i="52" s="1"/>
  <c r="C14" i="52" s="1"/>
  <c r="C15" i="52" s="1"/>
  <c r="C16" i="52" s="1"/>
  <c r="C68" i="52"/>
  <c r="E30" i="56"/>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C67" i="39"/>
  <c r="E18" i="39"/>
  <c r="E20" i="39"/>
  <c r="E19" i="39"/>
  <c r="A4" i="33"/>
  <c r="B4" i="33"/>
  <c r="D4" i="33"/>
  <c r="C4" i="33"/>
  <c r="C3" i="33"/>
  <c r="B3" i="33"/>
  <c r="D3" i="33"/>
  <c r="A3" i="33"/>
  <c r="C18" i="53" l="1"/>
  <c r="C19" i="53" s="1"/>
  <c r="C20" i="53" s="1"/>
  <c r="C49" i="53"/>
  <c r="G76" i="56" a="1"/>
  <c r="G76" i="56" s="1"/>
  <c r="H76" i="56" s="1" a="1"/>
  <c r="H76" i="56" s="1"/>
  <c r="E84" i="56" s="1"/>
  <c r="F84" i="56" s="1" a="1"/>
  <c r="F84" i="56" s="1"/>
  <c r="D89" i="56" s="1" a="1"/>
  <c r="D89" i="56" s="1"/>
  <c r="E3" i="33" a="1"/>
  <c r="N7" i="12" l="1"/>
  <c r="N6" i="12"/>
  <c r="O21" i="17"/>
  <c r="Q21" i="17" s="1"/>
  <c r="O22" i="17"/>
  <c r="Q22" i="17" s="1"/>
  <c r="O23" i="17"/>
  <c r="Q23" i="17" s="1"/>
  <c r="O24" i="17"/>
  <c r="Q24" i="17" s="1"/>
  <c r="O13" i="17"/>
  <c r="Q13" i="17" s="1"/>
  <c r="O25" i="17"/>
  <c r="Q25" i="17" s="1"/>
  <c r="O27" i="17"/>
  <c r="Q27" i="17" s="1"/>
  <c r="O12" i="17"/>
  <c r="Q12" i="17" s="1"/>
  <c r="O15" i="17"/>
  <c r="Q15" i="17" s="1"/>
  <c r="O26" i="17"/>
  <c r="Q26" i="17" s="1"/>
  <c r="O10" i="17"/>
  <c r="Q10" i="17" s="1"/>
  <c r="O11" i="17"/>
  <c r="Q11" i="17" s="1"/>
  <c r="O14" i="17"/>
  <c r="Q14" i="17" s="1"/>
  <c r="O16" i="17"/>
  <c r="Q16" i="17" s="1"/>
  <c r="O17" i="17"/>
  <c r="Q17" i="17" s="1"/>
  <c r="O18" i="17"/>
  <c r="Q18" i="17" s="1"/>
  <c r="O19" i="17"/>
  <c r="Q19" i="17" s="1"/>
  <c r="O20" i="17"/>
  <c r="Q20" i="17" s="1"/>
  <c r="Q17" i="12"/>
  <c r="Q18" i="12"/>
  <c r="Q19" i="12"/>
  <c r="Q10" i="12"/>
  <c r="Q11" i="12"/>
  <c r="Q16" i="12"/>
  <c r="Q20" i="12"/>
  <c r="Q24" i="12"/>
  <c r="Q25" i="12"/>
  <c r="Q26" i="12"/>
  <c r="Q28" i="12"/>
  <c r="Q21" i="12"/>
  <c r="Q22" i="12"/>
  <c r="Q27" i="12"/>
  <c r="Q29" i="12"/>
  <c r="Q15" i="12"/>
  <c r="Q23" i="12"/>
  <c r="Q12" i="12"/>
  <c r="Q13" i="12"/>
  <c r="Q14" i="12"/>
  <c r="C21" i="53"/>
  <c r="C22" i="53" s="1"/>
  <c r="C23" i="53" s="1"/>
  <c r="C50" i="53"/>
  <c r="O7" i="17"/>
  <c r="Q7" i="17" s="1"/>
  <c r="O8" i="17"/>
  <c r="Q8" i="17" s="1"/>
  <c r="O9" i="17"/>
  <c r="Q9" i="17" s="1"/>
  <c r="Q9" i="12"/>
  <c r="O6" i="17"/>
  <c r="Q6" i="17" s="1"/>
  <c r="O5" i="17"/>
  <c r="Q5" i="17" s="1"/>
  <c r="Q5" i="12"/>
  <c r="Q6" i="12"/>
  <c r="Q7" i="12"/>
  <c r="Q8" i="12"/>
  <c r="N5" i="12"/>
  <c r="I11" i="37"/>
  <c r="I21" i="37"/>
  <c r="I18" i="37"/>
  <c r="I12" i="37"/>
  <c r="I22" i="37"/>
  <c r="I13" i="37"/>
  <c r="I23" i="37"/>
  <c r="I14" i="37"/>
  <c r="I24" i="37"/>
  <c r="I10" i="37"/>
  <c r="I15" i="37"/>
  <c r="I25" i="37"/>
  <c r="I20" i="37"/>
  <c r="I16" i="37"/>
  <c r="I26" i="37"/>
  <c r="I27" i="37"/>
  <c r="I17" i="37"/>
  <c r="I19" i="37"/>
  <c r="J6" i="9"/>
  <c r="J5" i="9"/>
  <c r="K5" i="9" s="1"/>
  <c r="J7" i="9"/>
  <c r="J8" i="9"/>
  <c r="J9" i="9"/>
  <c r="I9" i="37"/>
  <c r="E3" i="33"/>
  <c r="I6" i="37"/>
  <c r="I7" i="37"/>
  <c r="I5" i="37"/>
  <c r="I8" i="37"/>
  <c r="M8" i="37" l="1"/>
  <c r="L8" i="37"/>
  <c r="N8" i="9"/>
  <c r="K8" i="9"/>
  <c r="K7" i="9"/>
  <c r="N7" i="9"/>
  <c r="K6" i="9"/>
  <c r="M7" i="37"/>
  <c r="L7" i="37"/>
  <c r="L6" i="37"/>
  <c r="M6" i="37"/>
  <c r="L5" i="37"/>
  <c r="M5" i="37"/>
  <c r="J19" i="37"/>
  <c r="K19" i="37"/>
  <c r="J17" i="37"/>
  <c r="K17" i="37"/>
  <c r="J26" i="37"/>
  <c r="K26" i="37"/>
  <c r="K24" i="37"/>
  <c r="J24" i="37"/>
  <c r="K14" i="37"/>
  <c r="J14" i="37"/>
  <c r="J23" i="37"/>
  <c r="K23" i="37"/>
  <c r="K13" i="37"/>
  <c r="J13" i="37"/>
  <c r="K22" i="37"/>
  <c r="J22" i="37"/>
  <c r="K12" i="37"/>
  <c r="J12" i="37"/>
  <c r="J18" i="37"/>
  <c r="K18" i="37"/>
  <c r="K21" i="37"/>
  <c r="J21" i="37"/>
  <c r="J11" i="37"/>
  <c r="K11" i="37"/>
  <c r="J25" i="37"/>
  <c r="K25" i="37"/>
  <c r="K15" i="37"/>
  <c r="J15" i="37"/>
  <c r="J8" i="37"/>
  <c r="K8" i="37"/>
  <c r="K27" i="37"/>
  <c r="J27" i="37"/>
  <c r="K16" i="37"/>
  <c r="J16" i="37"/>
  <c r="K20" i="37"/>
  <c r="J20" i="37"/>
  <c r="J9" i="37"/>
  <c r="K9" i="37"/>
  <c r="J10" i="37"/>
  <c r="K10" i="37"/>
  <c r="L9" i="9"/>
  <c r="M9" i="9"/>
  <c r="L8" i="9"/>
  <c r="M8" i="9"/>
  <c r="W8" i="12"/>
  <c r="X8" i="12"/>
  <c r="W12" i="12"/>
  <c r="X12" i="12"/>
  <c r="W15" i="12"/>
  <c r="X15" i="12"/>
  <c r="W22" i="12"/>
  <c r="X22" i="12"/>
  <c r="X24" i="12"/>
  <c r="W24" i="12"/>
  <c r="W19" i="12"/>
  <c r="X19" i="12"/>
  <c r="W29" i="12"/>
  <c r="X29" i="12"/>
  <c r="X25" i="12"/>
  <c r="W25" i="12"/>
  <c r="W21" i="12"/>
  <c r="X21" i="12"/>
  <c r="W20" i="12"/>
  <c r="X20" i="12"/>
  <c r="W18" i="12"/>
  <c r="X18" i="12"/>
  <c r="W13" i="12"/>
  <c r="X13" i="12"/>
  <c r="W27" i="12"/>
  <c r="X27" i="12"/>
  <c r="X16" i="12"/>
  <c r="W16" i="12"/>
  <c r="X17" i="12"/>
  <c r="W17" i="12"/>
  <c r="W14" i="12"/>
  <c r="X14" i="12"/>
  <c r="W28" i="12"/>
  <c r="X28" i="12"/>
  <c r="W11" i="12"/>
  <c r="X11" i="12"/>
  <c r="X9" i="12"/>
  <c r="W9" i="12"/>
  <c r="W23" i="12"/>
  <c r="X23" i="12"/>
  <c r="X26" i="12"/>
  <c r="W26" i="12"/>
  <c r="X10" i="12"/>
  <c r="W10" i="12"/>
  <c r="M7" i="9"/>
  <c r="L7" i="9"/>
  <c r="M6" i="9"/>
  <c r="L6" i="9"/>
  <c r="K5" i="37"/>
  <c r="J5" i="37"/>
  <c r="L5" i="9"/>
  <c r="M5" i="9"/>
  <c r="K7" i="37"/>
  <c r="J7" i="37"/>
  <c r="X7" i="12"/>
  <c r="W7" i="12"/>
  <c r="J6" i="37"/>
  <c r="K6" i="37"/>
  <c r="X6" i="12"/>
  <c r="W6" i="12"/>
  <c r="X5" i="12"/>
  <c r="W5" i="12"/>
  <c r="R22" i="12"/>
  <c r="R17" i="12"/>
  <c r="P20" i="17"/>
  <c r="P19" i="17"/>
  <c r="R13" i="12"/>
  <c r="P18" i="17"/>
  <c r="R12" i="12"/>
  <c r="P17" i="17"/>
  <c r="R28" i="12"/>
  <c r="P16" i="17"/>
  <c r="R26" i="12"/>
  <c r="P14" i="17"/>
  <c r="R25" i="12"/>
  <c r="P11" i="17"/>
  <c r="R8" i="12"/>
  <c r="R24" i="12"/>
  <c r="P10" i="17"/>
  <c r="R6" i="12"/>
  <c r="R14" i="12"/>
  <c r="R21" i="12"/>
  <c r="R7" i="12"/>
  <c r="P26" i="17"/>
  <c r="R20" i="12"/>
  <c r="P15" i="17"/>
  <c r="R23" i="12"/>
  <c r="R5" i="12"/>
  <c r="R16" i="12"/>
  <c r="P12" i="17"/>
  <c r="P5" i="17"/>
  <c r="R15" i="12"/>
  <c r="P27" i="17"/>
  <c r="R29" i="12"/>
  <c r="P25" i="17"/>
  <c r="R11" i="12"/>
  <c r="R9" i="12"/>
  <c r="R10" i="12"/>
  <c r="P13" i="17"/>
  <c r="P24" i="17"/>
  <c r="P6" i="17"/>
  <c r="R27" i="12"/>
  <c r="P22" i="17"/>
  <c r="P9" i="17"/>
  <c r="R19" i="12"/>
  <c r="P23" i="17"/>
  <c r="P8" i="17"/>
  <c r="P7" i="17"/>
  <c r="R18" i="12"/>
  <c r="P21" i="17"/>
  <c r="N25" i="37"/>
  <c r="N8" i="37"/>
  <c r="N20" i="37"/>
  <c r="N5" i="37"/>
  <c r="N23" i="37"/>
  <c r="N26" i="37"/>
  <c r="N7" i="37"/>
  <c r="N16" i="37"/>
  <c r="N10" i="37"/>
  <c r="N21" i="37"/>
  <c r="N22" i="37"/>
  <c r="N27" i="37"/>
  <c r="N12" i="37"/>
  <c r="N19" i="37"/>
  <c r="N6" i="37"/>
  <c r="N11" i="37"/>
  <c r="N14" i="37"/>
  <c r="N9" i="37"/>
  <c r="N15" i="37"/>
  <c r="N18" i="37"/>
  <c r="N13" i="37"/>
  <c r="N17" i="37"/>
  <c r="N24" i="37"/>
  <c r="C24" i="53"/>
  <c r="C25" i="53" s="1"/>
  <c r="C26" i="53" s="1"/>
  <c r="C51" i="53"/>
  <c r="N6" i="9" l="1"/>
  <c r="P5" i="37"/>
  <c r="N5" i="9"/>
  <c r="S19" i="12"/>
  <c r="U19" i="12" s="1"/>
  <c r="T19" i="12" a="1"/>
  <c r="T19" i="12" s="1"/>
  <c r="S13" i="12"/>
  <c r="V13" i="12" s="1"/>
  <c r="T13" i="12" a="1"/>
  <c r="T13" i="12" s="1"/>
  <c r="S24" i="12"/>
  <c r="V24" i="12" s="1"/>
  <c r="T24" i="12" a="1"/>
  <c r="T24" i="12" s="1"/>
  <c r="S16" i="12"/>
  <c r="V16" i="12" s="1"/>
  <c r="T16" i="12" a="1"/>
  <c r="T16" i="12" s="1"/>
  <c r="S8" i="12"/>
  <c r="V8" i="12" s="1"/>
  <c r="T8" i="12" a="1"/>
  <c r="T8" i="12" s="1"/>
  <c r="S14" i="12"/>
  <c r="V14" i="12" s="1"/>
  <c r="T14" i="12" a="1"/>
  <c r="T14" i="12" s="1"/>
  <c r="S5" i="12"/>
  <c r="U5" i="12" s="1"/>
  <c r="T5" i="12" a="1"/>
  <c r="T5" i="12" s="1"/>
  <c r="S17" i="12"/>
  <c r="U17" i="12" s="1"/>
  <c r="T17" i="12" a="1"/>
  <c r="T17" i="12" s="1"/>
  <c r="S25" i="12"/>
  <c r="U25" i="12" s="1"/>
  <c r="T25" i="12" a="1"/>
  <c r="T25" i="12" s="1"/>
  <c r="S22" i="12"/>
  <c r="U22" i="12" s="1"/>
  <c r="T22" i="12" a="1"/>
  <c r="T22" i="12" s="1"/>
  <c r="S29" i="12"/>
  <c r="V29" i="12" s="1"/>
  <c r="T29" i="12" a="1"/>
  <c r="T29" i="12" s="1"/>
  <c r="S21" i="12"/>
  <c r="V21" i="12" s="1"/>
  <c r="T21" i="12" a="1"/>
  <c r="T21" i="12" s="1"/>
  <c r="S12" i="12"/>
  <c r="V12" i="12" s="1"/>
  <c r="T12" i="12" a="1"/>
  <c r="T12" i="12" s="1"/>
  <c r="S15" i="12"/>
  <c r="V15" i="12" s="1"/>
  <c r="T15" i="12" a="1"/>
  <c r="T15" i="12" s="1"/>
  <c r="S23" i="12"/>
  <c r="V23" i="12" s="1"/>
  <c r="T23" i="12" a="1"/>
  <c r="T23" i="12" s="1"/>
  <c r="S18" i="12"/>
  <c r="V18" i="12" s="1"/>
  <c r="T18" i="12" a="1"/>
  <c r="T18" i="12" s="1"/>
  <c r="S9" i="12"/>
  <c r="U9" i="12" s="1"/>
  <c r="T9" i="12" a="1"/>
  <c r="T9" i="12" s="1"/>
  <c r="S26" i="12"/>
  <c r="V26" i="12" s="1"/>
  <c r="T26" i="12" a="1"/>
  <c r="T26" i="12" s="1"/>
  <c r="S11" i="12"/>
  <c r="V11" i="12" s="1"/>
  <c r="T11" i="12" a="1"/>
  <c r="T11" i="12" s="1"/>
  <c r="S6" i="12"/>
  <c r="V6" i="12" s="1"/>
  <c r="T6" i="12" a="1"/>
  <c r="T6" i="12" s="1"/>
  <c r="S27" i="12"/>
  <c r="V27" i="12" s="1"/>
  <c r="T27" i="12" a="1"/>
  <c r="T27" i="12" s="1"/>
  <c r="S10" i="12"/>
  <c r="V10" i="12" s="1"/>
  <c r="T10" i="12" a="1"/>
  <c r="T10" i="12" s="1"/>
  <c r="S20" i="12"/>
  <c r="U20" i="12" s="1"/>
  <c r="T20" i="12" a="1"/>
  <c r="T20" i="12" s="1"/>
  <c r="S7" i="12"/>
  <c r="V7" i="12" s="1"/>
  <c r="T7" i="12" a="1"/>
  <c r="T7" i="12" s="1"/>
  <c r="S28" i="12"/>
  <c r="V28" i="12" s="1"/>
  <c r="T28" i="12" a="1"/>
  <c r="T28" i="12" s="1"/>
  <c r="O6" i="37"/>
  <c r="P7" i="37"/>
  <c r="O5" i="37"/>
  <c r="P8" i="37"/>
  <c r="O8" i="37"/>
  <c r="O26" i="37"/>
  <c r="P26" i="37"/>
  <c r="O15" i="37"/>
  <c r="P15" i="37"/>
  <c r="P22" i="37"/>
  <c r="O22" i="37"/>
  <c r="P10" i="37"/>
  <c r="O10" i="37"/>
  <c r="O17" i="37"/>
  <c r="P17" i="37"/>
  <c r="O13" i="37"/>
  <c r="P13" i="37"/>
  <c r="O12" i="37"/>
  <c r="P12" i="37"/>
  <c r="P9" i="37"/>
  <c r="O9" i="37"/>
  <c r="O25" i="37"/>
  <c r="P25" i="37"/>
  <c r="P19" i="37"/>
  <c r="O19" i="37"/>
  <c r="O11" i="37"/>
  <c r="P11" i="37"/>
  <c r="P23" i="37"/>
  <c r="O23" i="37"/>
  <c r="O16" i="37"/>
  <c r="P16" i="37"/>
  <c r="P21" i="37"/>
  <c r="O21" i="37"/>
  <c r="O14" i="37"/>
  <c r="P14" i="37"/>
  <c r="P20" i="37"/>
  <c r="O20" i="37"/>
  <c r="O27" i="37"/>
  <c r="P27" i="37"/>
  <c r="O24" i="37"/>
  <c r="P24" i="37"/>
  <c r="O18" i="37"/>
  <c r="P18" i="37"/>
  <c r="O7" i="37"/>
  <c r="P6" i="37"/>
  <c r="C27" i="53"/>
  <c r="C28" i="53" s="1"/>
  <c r="C29" i="53" s="1"/>
  <c r="C52" i="53"/>
  <c r="U13" i="12" l="1"/>
  <c r="U15" i="12"/>
  <c r="U24" i="12"/>
  <c r="U28" i="12"/>
  <c r="U12" i="12"/>
  <c r="V5" i="12"/>
  <c r="V19" i="12"/>
  <c r="U11" i="12"/>
  <c r="U16" i="12"/>
  <c r="U18" i="12"/>
  <c r="V17" i="12"/>
  <c r="U6" i="12"/>
  <c r="U10" i="12"/>
  <c r="U27" i="12"/>
  <c r="U23" i="12"/>
  <c r="V25" i="12"/>
  <c r="U26" i="12"/>
  <c r="V22" i="12"/>
  <c r="U8" i="12"/>
  <c r="U14" i="12"/>
  <c r="V20" i="12"/>
  <c r="U21" i="12"/>
  <c r="V9" i="12"/>
  <c r="U7" i="12"/>
  <c r="U29" i="12"/>
  <c r="C30" i="53"/>
  <c r="C31" i="53" s="1"/>
  <c r="C32" i="53" s="1"/>
  <c r="C33" i="53" s="1"/>
  <c r="C34" i="53" s="1"/>
  <c r="C35" i="53" s="1"/>
  <c r="C36" i="53" s="1"/>
  <c r="C37" i="53" s="1"/>
  <c r="C38" i="53" s="1"/>
  <c r="C39" i="53" s="1"/>
  <c r="C40" i="53" s="1"/>
  <c r="C53" i="53"/>
  <c r="C59" i="39" l="1"/>
  <c r="C75" i="39" s="1"/>
  <c r="C62" i="39" l="1"/>
  <c r="C65" i="39" l="1"/>
  <c r="C68" i="39" l="1"/>
  <c r="C60" i="39" l="1"/>
  <c r="C76" i="39" s="1"/>
  <c r="C63" i="39" l="1"/>
  <c r="C66" i="39" l="1"/>
  <c r="C69" i="3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author>
  </authors>
  <commentList>
    <comment ref="Y33" authorId="0" shapeId="0" xr:uid="{0F989201-3DC5-460A-A0BC-CA4E0386CF1B}">
      <text>
        <r>
          <rPr>
            <b/>
            <sz val="9"/>
            <color indexed="81"/>
            <rFont val="Tahoma"/>
            <family val="2"/>
          </rPr>
          <t>Hans:
These columns can be deleted if integrated in TABLE 4's calculation, or perhaps these can be hidden
How to use the lookup function</t>
        </r>
        <r>
          <rPr>
            <sz val="9"/>
            <color indexed="81"/>
            <rFont val="Tahoma"/>
            <family val="2"/>
          </rPr>
          <t xml:space="preserve">
https://www.exceldemy.com/excel-if-one-cell-equals-another-then-return-another-cell/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B1A67905-20E4-41E4-8F9E-8604E78D2BAC}">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<sst xmlns="http://schemas.openxmlformats.org/spreadsheetml/2006/main" count="14340" uniqueCount="1932">
  <si>
    <t>Topic</t>
  </si>
  <si>
    <t>Indicator</t>
  </si>
  <si>
    <t>Link to tab</t>
  </si>
  <si>
    <t>Site and production details</t>
  </si>
  <si>
    <t>1.4.7</t>
  </si>
  <si>
    <t>Site and Production details</t>
  </si>
  <si>
    <t>Escapes - Escape monitoring</t>
  </si>
  <si>
    <t>2.4.7</t>
  </si>
  <si>
    <t>Known escapes</t>
  </si>
  <si>
    <t>Benthic impacts - Cage culture in marine/brackish waters, Level 1 &amp; 2</t>
  </si>
  <si>
    <t>2.5.6</t>
  </si>
  <si>
    <t>Benthic impacts - MB L1 &amp; L2</t>
  </si>
  <si>
    <t>Benthic impacts - Cage culture in marine/brackish waters, Level 3</t>
  </si>
  <si>
    <t>Benthic impacts - MB L3</t>
  </si>
  <si>
    <t>Benthic impacts - Suspended marine molluscs systems, Level 1 &amp; 2</t>
  </si>
  <si>
    <t>Benthic impacts - M L1 &amp; L2</t>
  </si>
  <si>
    <t>Benthic impacts - Suspended marine molluscs systems, Level 3</t>
  </si>
  <si>
    <t>Benthic impacts - M L3</t>
  </si>
  <si>
    <t>Benthic impacts - Cage culture in freshwater lakes/reservoirs, Level 1 &amp; 2</t>
  </si>
  <si>
    <t>Benthic impacts - L&amp;R L1 &amp; L2</t>
  </si>
  <si>
    <t>Benthic impacts - Cage culture in freshwater lakes/reservoirs, Level 3</t>
  </si>
  <si>
    <t>Benthic impacts - L&amp;R L3</t>
  </si>
  <si>
    <t>2.12.6</t>
  </si>
  <si>
    <t>Feed</t>
  </si>
  <si>
    <t>Veterinary therapeutants</t>
  </si>
  <si>
    <t>Mortality - Fish</t>
  </si>
  <si>
    <t>4.1.1.13</t>
  </si>
  <si>
    <t>Mortality</t>
  </si>
  <si>
    <t>Mortality - Cleaner fish</t>
  </si>
  <si>
    <t>4.1.1.28</t>
  </si>
  <si>
    <t>Mortality - Crustaceans</t>
  </si>
  <si>
    <t>4.2.1.12</t>
  </si>
  <si>
    <t>Mortality - Bivalves and abalone</t>
  </si>
  <si>
    <t>4.3.9</t>
  </si>
  <si>
    <t>4.4.20</t>
  </si>
  <si>
    <t xml:space="preserve">FURTHER INFORMATION AND QUESTIONS
All of the above information can be found in ASC's Data submission procedure. For questions, please contact data@asc-aqua.org
</t>
  </si>
  <si>
    <t>USEFUL LINKS</t>
  </si>
  <si>
    <t>MyASC - Data submission portal</t>
  </si>
  <si>
    <t>TEMPLATE VERSION</t>
  </si>
  <si>
    <t>TABLE 1. Site and production details</t>
  </si>
  <si>
    <t>Site name</t>
  </si>
  <si>
    <t>ASC site ID</t>
  </si>
  <si>
    <t>Species in production (Latin name) (select)</t>
  </si>
  <si>
    <t>Cycle ID</t>
  </si>
  <si>
    <t>Production cycle start 
(dd-mm-yyyy)</t>
  </si>
  <si>
    <t>Production cycle end 
(dd-mm-yyyy)</t>
  </si>
  <si>
    <t>ASC certified stocked volume (tonnes)</t>
  </si>
  <si>
    <t>ASC certified harvested production volume (tonnes)</t>
  </si>
  <si>
    <t>Stocking count 
(# animals)</t>
  </si>
  <si>
    <t>Harvest count 
(# animals)</t>
  </si>
  <si>
    <t>Non-ASC certified harvested production volume (tonnes)</t>
  </si>
  <si>
    <t>ASC certified net production volume (tonnes)</t>
  </si>
  <si>
    <t>Notes</t>
  </si>
  <si>
    <t>Acanthocardia aculeata</t>
  </si>
  <si>
    <t>TABLE 1. Known escapes reporting</t>
  </si>
  <si>
    <t>2.1</t>
  </si>
  <si>
    <t>2.2</t>
  </si>
  <si>
    <t>2.3</t>
  </si>
  <si>
    <t>2.4</t>
  </si>
  <si>
    <t>2.5</t>
  </si>
  <si>
    <t>2.7</t>
  </si>
  <si>
    <t>2.9</t>
  </si>
  <si>
    <t>2.12</t>
  </si>
  <si>
    <t>Species in production (latin name) (select)</t>
  </si>
  <si>
    <t>Cycle ID (select)</t>
  </si>
  <si>
    <t xml:space="preserve">Date of event (dd-mm-yyyy) </t>
  </si>
  <si>
    <t>Number of escapees (# animals)</t>
  </si>
  <si>
    <t>Cause of escape event (select)</t>
  </si>
  <si>
    <t>Species in production</t>
  </si>
  <si>
    <t>Known escapes (# animals)</t>
  </si>
  <si>
    <t>Known escapes (%)</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</si>
  <si>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</si>
  <si>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</si>
  <si>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</si>
  <si>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</si>
  <si>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</si>
  <si>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</si>
  <si>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Distance from edge of cages (m)</t>
  </si>
  <si>
    <t>Avg. value - sample 1</t>
  </si>
  <si>
    <t>Avg. value - sample 2</t>
  </si>
  <si>
    <t>Abiotic index ref</t>
  </si>
  <si>
    <t>Equal or larger than</t>
  </si>
  <si>
    <t>smaller than</t>
  </si>
  <si>
    <t>EQS category ref</t>
  </si>
  <si>
    <t xml:space="preserve">Reference zone </t>
  </si>
  <si>
    <t>Farm monitoring zone 1</t>
  </si>
  <si>
    <t>Farm monitoring zone 2</t>
  </si>
  <si>
    <t>Farm monitoring zone 3</t>
  </si>
  <si>
    <t>Benthic status</t>
  </si>
  <si>
    <t>Select</t>
  </si>
  <si>
    <t>Downstream</t>
  </si>
  <si>
    <t>Sampling zone 1</t>
  </si>
  <si>
    <t>0-30</t>
  </si>
  <si>
    <t>Redox potential (EhNHE)</t>
  </si>
  <si>
    <t>High</t>
  </si>
  <si>
    <t>smaller or larger than number not in table 2 but required for logic</t>
  </si>
  <si>
    <t>Poor</t>
  </si>
  <si>
    <t>Bad</t>
  </si>
  <si>
    <t>Unacceptable</t>
  </si>
  <si>
    <t>Sampling zone 2</t>
  </si>
  <si>
    <t>31-100</t>
  </si>
  <si>
    <t>Good</t>
  </si>
  <si>
    <t>Sampling zone 3</t>
  </si>
  <si>
    <t>101-150</t>
  </si>
  <si>
    <t>Moderate</t>
  </si>
  <si>
    <t>Reference zone</t>
  </si>
  <si>
    <t>500+</t>
  </si>
  <si>
    <t>equal or larger than number not in table 2 but required for logic</t>
  </si>
  <si>
    <t>High/Good</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</si>
  <si>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</si>
  <si>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</si>
  <si>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</si>
  <si>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</si>
  <si>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</si>
  <si>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</si>
  <si>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</si>
  <si>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</si>
  <si>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</si>
  <si>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</si>
  <si>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</si>
  <si>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</si>
  <si>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</si>
  <si>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</si>
  <si>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</si>
  <si>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</si>
  <si>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</si>
  <si>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</si>
  <si>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</si>
  <si>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Benthic status - 
Level 1 and 2</t>
  </si>
  <si>
    <t>Acceptable</t>
  </si>
  <si>
    <t>Hidden table - Thresholds for biotic indicators of organic enrichment and corresponding EQS categories</t>
  </si>
  <si>
    <t>Sampling date 
(dd-mm-yyyy)</t>
  </si>
  <si>
    <t>Biotic indicator (select)</t>
  </si>
  <si>
    <t>Biotic index ref</t>
  </si>
  <si>
    <r>
      <t>Equal or larger than (x≥</t>
    </r>
    <r>
      <rPr>
        <sz val="7.7"/>
        <color theme="1"/>
        <rFont val="Montserrat"/>
      </rPr>
      <t>)</t>
    </r>
  </si>
  <si>
    <t>smaller than (x&lt;)</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</si>
  <si>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</si>
  <si>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</si>
  <si>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</si>
  <si>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</si>
  <si>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</si>
  <si>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</si>
  <si>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</si>
  <si>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</si>
  <si>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</si>
  <si>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</si>
  <si>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</si>
  <si>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</si>
  <si>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Biotic indicator</t>
  </si>
  <si>
    <t>Norwegian Sensitivity Index (NSI)</t>
  </si>
  <si>
    <t>Indicator Species Index (ISI2012)</t>
  </si>
  <si>
    <t>Enrichment Stage (ES)</t>
  </si>
  <si>
    <t>0 not in appendix, but may be a realistic value</t>
  </si>
  <si>
    <t>TABLE 3. Level 3 - Biotic impact - EQS classification per sampling zone</t>
  </si>
  <si>
    <t>Benthic status - Level 3</t>
  </si>
  <si>
    <t>Distance from site boundary (m)</t>
  </si>
  <si>
    <t>Inside site boundary</t>
  </si>
  <si>
    <t>Outside site boundary</t>
  </si>
  <si>
    <t>20m inside boundary</t>
  </si>
  <si>
    <t>10m inside boundary</t>
  </si>
  <si>
    <t>On site boundary</t>
  </si>
  <si>
    <t>0m on boundary</t>
  </si>
  <si>
    <t>10m outside boundary</t>
  </si>
  <si>
    <t>20m outside boundary</t>
  </si>
  <si>
    <t>Benthic status - Level 1 and 2</t>
  </si>
  <si>
    <t>Benthic status - Tier 3</t>
  </si>
  <si>
    <t xml:space="preserve">TAN (mg/L) </t>
  </si>
  <si>
    <t>pH</t>
  </si>
  <si>
    <t>T (ºC)</t>
  </si>
  <si>
    <t>Poor/Bad</t>
  </si>
  <si>
    <t>TAN threshold is calculated based on EQS sampling zoen and direction specific T and pH, page 46 of  https://www.epa.gov/sites/default/files/2015-08/documents/aquatic-life-ambient-water-quality-criteria-for-ammonia-freshwater-2013.pdf</t>
  </si>
  <si>
    <t>What to do with moderate? Is it even achievable?</t>
  </si>
  <si>
    <t>the lower the better!</t>
  </si>
  <si>
    <t>TAB threshold</t>
  </si>
  <si>
    <t>Column2</t>
  </si>
  <si>
    <t>Column3</t>
  </si>
  <si>
    <t>Column1</t>
  </si>
  <si>
    <t>TAN threshold is calculated based on EQS sampling zone and direction specific T and pH, page 46 of  https://www.epa.gov/sites/default/files/2015-08/documents/aquatic-life-ambient-water-quality-criteria-for-ammonia-freshwater-2013.pdf</t>
  </si>
  <si>
    <t>TAN threshold (mg/L)</t>
  </si>
  <si>
    <t>Not applicable</t>
  </si>
  <si>
    <t>TABLE 4. Level 1 and 2 - Abiotic impact - EQS classification per sampling zone</t>
  </si>
  <si>
    <t>Total Free Sulphide (S2- μM)</t>
  </si>
  <si>
    <t>Average indicator value</t>
  </si>
  <si>
    <t>TABLE 1. Feed name and properties</t>
  </si>
  <si>
    <t>TABLE 3. Species protein content</t>
  </si>
  <si>
    <t>Feed name</t>
  </si>
  <si>
    <t>Product ID</t>
  </si>
  <si>
    <t>Fish meal in feed derived from forage fisheries (%)</t>
  </si>
  <si>
    <t>Fish oil in feed derived from forage fisheries (%)</t>
  </si>
  <si>
    <t>EPA and DHA content of fish oil (%)</t>
  </si>
  <si>
    <t>Fish oil yield per kg fish (%)</t>
  </si>
  <si>
    <t>Fish meal yield per kg fish (%)</t>
  </si>
  <si>
    <t>Protein content (%)</t>
  </si>
  <si>
    <t>GMO ingredients (%)</t>
  </si>
  <si>
    <t>Animal protein content (%)</t>
  </si>
  <si>
    <t>eFCR</t>
  </si>
  <si>
    <t>PRE (%)</t>
  </si>
  <si>
    <t>FFDRm</t>
  </si>
  <si>
    <t>FFDRo</t>
  </si>
  <si>
    <t>EPA and DHA in feed (g/kg feed)</t>
  </si>
  <si>
    <t>EPA and DHA in fish oil (%)</t>
  </si>
  <si>
    <t>Species in production (select)</t>
  </si>
  <si>
    <t>Feed name (select)</t>
  </si>
  <si>
    <t>Feed use (tonnes)</t>
  </si>
  <si>
    <t>Protein fed per feed type (tonnes)</t>
  </si>
  <si>
    <t>total EPA and DHA in feed, per type (g)</t>
  </si>
  <si>
    <t>FO%/yield*feed use</t>
  </si>
  <si>
    <t>FM%/yield*feed use</t>
  </si>
  <si>
    <t>EPA and DHA% * feed use</t>
  </si>
  <si>
    <t>Cycle ID
(select)</t>
  </si>
  <si>
    <t>Harvest count (# animals)</t>
  </si>
  <si>
    <t>Mortality count
(# animals)</t>
  </si>
  <si>
    <t>TABLE 1. Mortality reporting</t>
  </si>
  <si>
    <t xml:space="preserve">Still missing any reporting on mass mortality events </t>
  </si>
  <si>
    <t>Mortality cause
(select)</t>
  </si>
  <si>
    <t>Mortality count (# animals)</t>
  </si>
  <si>
    <t>Mortality rate (%)</t>
  </si>
  <si>
    <t>Real percentage mortality (%)</t>
  </si>
  <si>
    <t>TABLE 1. Veterinary therapeutants reporting</t>
  </si>
  <si>
    <t>Start date of treatment
(dd-mm-yyyy)</t>
  </si>
  <si>
    <t>End date of treatment
(dd-mm-yyyy)</t>
  </si>
  <si>
    <t>Type of treatment (select)</t>
  </si>
  <si>
    <t>Reason for use</t>
  </si>
  <si>
    <t>Active component name</t>
  </si>
  <si>
    <t>Product name</t>
  </si>
  <si>
    <t>WHO classification (select)</t>
  </si>
  <si>
    <t>Amount of active component (kg)</t>
  </si>
  <si>
    <t>Antibiotic load (kg/tonne)</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</si>
  <si>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</si>
  <si>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</si>
  <si>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</si>
  <si>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</si>
  <si>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</si>
  <si>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</si>
  <si>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</si>
  <si>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</si>
  <si>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</si>
  <si>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</si>
  <si>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</si>
  <si>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</si>
  <si>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</si>
  <si>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</si>
  <si>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</si>
  <si>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</si>
  <si>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</si>
  <si>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</si>
  <si>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</si>
  <si>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</si>
  <si>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</si>
  <si>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</si>
  <si>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</si>
  <si>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</si>
  <si>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</si>
  <si>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</si>
  <si>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</si>
  <si>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</si>
  <si>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</si>
  <si>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</si>
  <si>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</si>
  <si>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</si>
  <si>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</si>
  <si>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</si>
  <si>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</si>
  <si>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</si>
  <si>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</si>
  <si>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</si>
  <si>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</si>
  <si>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</si>
  <si>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</si>
  <si>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</si>
  <si>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</si>
  <si>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</si>
  <si>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</si>
  <si>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</si>
  <si>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</si>
  <si>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</si>
  <si>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</si>
  <si>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</si>
  <si>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</si>
  <si>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</si>
  <si>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</si>
  <si>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</si>
  <si>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</si>
  <si>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</si>
  <si>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</si>
  <si>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</si>
  <si>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</si>
  <si>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</si>
  <si>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</si>
  <si>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</si>
  <si>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</si>
  <si>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</si>
  <si>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</si>
  <si>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</si>
  <si>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</si>
  <si>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</si>
  <si>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</si>
  <si>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</si>
  <si>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</si>
  <si>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</si>
  <si>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</si>
  <si>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</si>
  <si>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</si>
  <si>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</si>
  <si>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</si>
  <si>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</si>
  <si>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</si>
  <si>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</si>
  <si>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</si>
  <si>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</si>
  <si>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</si>
  <si>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</si>
  <si>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</si>
  <si>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</si>
  <si>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</si>
  <si>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</si>
  <si>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</si>
  <si>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</si>
  <si>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</si>
  <si>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</si>
  <si>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</si>
  <si>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</si>
  <si>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</si>
  <si>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</si>
  <si>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</si>
  <si>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</si>
  <si>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</si>
  <si>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</si>
  <si>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</si>
  <si>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</si>
  <si>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</si>
  <si>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</si>
  <si>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</si>
  <si>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</si>
  <si>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</si>
  <si>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</si>
  <si>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</si>
  <si>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</si>
  <si>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</si>
  <si>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</si>
  <si>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</si>
  <si>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</si>
  <si>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</si>
  <si>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</si>
  <si>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</si>
  <si>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</si>
  <si>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</si>
  <si>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</si>
  <si>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</si>
  <si>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</si>
  <si>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</si>
  <si>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</si>
  <si>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</si>
  <si>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</si>
  <si>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</si>
  <si>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</si>
  <si>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</si>
  <si>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</si>
  <si>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</si>
  <si>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</si>
  <si>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</si>
  <si>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</si>
  <si>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</si>
  <si>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</si>
  <si>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</si>
  <si>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</si>
  <si>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</si>
  <si>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</si>
  <si>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</si>
  <si>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</si>
  <si>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</si>
  <si>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</si>
  <si>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</si>
  <si>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</si>
  <si>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</si>
  <si>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</si>
  <si>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</si>
  <si>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</si>
  <si>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</si>
  <si>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</si>
  <si>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</si>
  <si>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</si>
  <si>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</si>
  <si>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</si>
  <si>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</si>
  <si>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</si>
  <si>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</si>
  <si>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</si>
  <si>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</si>
  <si>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</si>
  <si>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</si>
  <si>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</si>
  <si>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</si>
  <si>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</si>
  <si>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</si>
  <si>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</si>
  <si>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</si>
  <si>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</si>
  <si>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</si>
  <si>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</si>
  <si>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</si>
  <si>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</si>
  <si>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</si>
  <si>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</si>
  <si>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</si>
  <si>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</si>
  <si>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</si>
  <si>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</si>
  <si>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</si>
  <si>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</si>
  <si>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</si>
  <si>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</si>
  <si>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</si>
  <si>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</si>
  <si>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</si>
  <si>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</si>
  <si>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</si>
  <si>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</si>
  <si>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</si>
  <si>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</si>
  <si>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</si>
  <si>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</si>
  <si>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</si>
  <si>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</si>
  <si>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</si>
  <si>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</si>
  <si>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</si>
  <si>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</si>
  <si>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</si>
  <si>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</si>
  <si>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</si>
  <si>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</si>
  <si>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</si>
  <si>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</si>
  <si>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</si>
  <si>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</si>
  <si>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</si>
  <si>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</si>
  <si>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</si>
  <si>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</si>
  <si>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</si>
  <si>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</si>
  <si>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</si>
  <si>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</si>
  <si>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</si>
  <si>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</si>
  <si>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</si>
  <si>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</si>
  <si>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</si>
  <si>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</si>
  <si>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</si>
  <si>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</si>
  <si>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</si>
  <si>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</si>
  <si>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</si>
  <si>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</si>
  <si>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</si>
  <si>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</si>
  <si>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</si>
  <si>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</si>
  <si>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</si>
  <si>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</si>
  <si>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</si>
  <si>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</si>
  <si>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</si>
  <si>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</si>
  <si>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</si>
  <si>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</si>
  <si>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</si>
  <si>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</si>
  <si>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</si>
  <si>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</si>
  <si>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</si>
  <si>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</si>
  <si>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</si>
  <si>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</si>
  <si>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</si>
  <si>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</si>
  <si>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</si>
  <si>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</si>
  <si>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</si>
  <si>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</si>
  <si>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</si>
  <si>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</si>
  <si>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</si>
  <si>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</si>
  <si>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</si>
  <si>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</si>
  <si>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</si>
  <si>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</si>
  <si>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</si>
  <si>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</si>
  <si>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</si>
  <si>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</si>
  <si>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</si>
  <si>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</si>
  <si>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</si>
  <si>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</si>
  <si>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</si>
  <si>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</si>
  <si>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</si>
  <si>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</si>
  <si>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</si>
  <si>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</si>
  <si>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</si>
  <si>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</si>
  <si>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</si>
  <si>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</si>
  <si>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</si>
  <si>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</si>
  <si>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</si>
  <si>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</si>
  <si>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</si>
  <si>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</si>
  <si>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</si>
  <si>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</si>
  <si>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</si>
  <si>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</si>
  <si>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</si>
  <si>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</si>
  <si>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</si>
  <si>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</si>
  <si>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</si>
  <si>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</si>
  <si>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</si>
  <si>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</si>
  <si>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</si>
  <si>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</si>
  <si>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</si>
  <si>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</si>
  <si>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</si>
  <si>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</si>
  <si>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</si>
  <si>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</si>
  <si>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</si>
  <si>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</si>
  <si>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</si>
  <si>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</si>
  <si>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</si>
  <si>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</si>
  <si>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</si>
  <si>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</si>
  <si>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</si>
  <si>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</si>
  <si>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</si>
  <si>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</si>
  <si>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</si>
  <si>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</si>
  <si>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</si>
  <si>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</si>
  <si>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</si>
  <si>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</si>
  <si>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</si>
  <si>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</si>
  <si>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</si>
  <si>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</si>
  <si>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</si>
  <si>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</si>
  <si>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</si>
  <si>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</si>
  <si>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</si>
  <si>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</si>
  <si>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</si>
  <si>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</si>
  <si>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</si>
  <si>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</si>
  <si>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</si>
  <si>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</si>
  <si>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</si>
  <si>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</si>
  <si>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</si>
  <si>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</si>
  <si>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</si>
  <si>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</si>
  <si>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</si>
  <si>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</si>
  <si>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</si>
  <si>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</si>
  <si>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</si>
  <si>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</si>
  <si>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</si>
  <si>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</si>
  <si>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</si>
  <si>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</si>
  <si>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</si>
  <si>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</si>
  <si>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</si>
  <si>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</si>
  <si>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</si>
  <si>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</si>
  <si>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</si>
  <si>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</si>
  <si>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</si>
  <si>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</si>
  <si>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</si>
  <si>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</si>
  <si>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</si>
  <si>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</si>
  <si>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</si>
  <si>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</si>
  <si>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</si>
  <si>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</si>
  <si>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</si>
  <si>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</si>
  <si>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</si>
  <si>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</si>
  <si>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</si>
  <si>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</si>
  <si>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</si>
  <si>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</si>
  <si>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</si>
  <si>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</si>
  <si>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</si>
  <si>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</si>
  <si>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</si>
  <si>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</si>
  <si>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</si>
  <si>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</si>
  <si>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</si>
  <si>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</si>
  <si>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</si>
  <si>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</si>
  <si>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</si>
  <si>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</si>
  <si>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</si>
  <si>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</si>
  <si>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</si>
  <si>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</si>
  <si>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</si>
  <si>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</si>
  <si>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</si>
  <si>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</si>
  <si>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</si>
  <si>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</si>
  <si>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</si>
  <si>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</si>
  <si>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</si>
  <si>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</si>
  <si>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</si>
  <si>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</si>
  <si>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</si>
  <si>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</si>
  <si>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</si>
  <si>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</si>
  <si>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</si>
  <si>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</si>
  <si>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</si>
  <si>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</si>
  <si>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</si>
  <si>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</si>
  <si>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</si>
  <si>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</si>
  <si>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</si>
  <si>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</si>
  <si>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</si>
  <si>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</si>
  <si>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</si>
  <si>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</si>
  <si>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</si>
  <si>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</si>
  <si>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</si>
  <si>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</si>
  <si>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</si>
  <si>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</si>
  <si>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</si>
  <si>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</si>
  <si>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</si>
  <si>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</si>
  <si>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</si>
  <si>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</si>
  <si>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</si>
  <si>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</si>
  <si>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</si>
  <si>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</si>
  <si>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</si>
  <si>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</si>
  <si>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</si>
  <si>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</si>
  <si>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</si>
  <si>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</si>
  <si>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</si>
  <si>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</si>
  <si>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</si>
  <si>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</si>
  <si>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</si>
  <si>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</si>
  <si>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</si>
  <si>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</si>
  <si>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</si>
  <si>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</si>
  <si>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</si>
  <si>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</si>
  <si>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</si>
  <si>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</si>
  <si>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</si>
  <si>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</si>
  <si>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</si>
  <si>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</si>
  <si>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</si>
  <si>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</si>
  <si>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</si>
  <si>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</si>
  <si>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</si>
  <si>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</si>
  <si>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</si>
  <si>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</si>
  <si>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</si>
  <si>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</si>
  <si>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</si>
  <si>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</si>
  <si>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</si>
  <si>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</si>
  <si>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</si>
  <si>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</si>
  <si>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</si>
  <si>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</si>
  <si>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</si>
  <si>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</si>
  <si>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</si>
  <si>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</si>
  <si>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</si>
  <si>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</si>
  <si>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</si>
  <si>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</si>
  <si>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</si>
  <si>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</si>
  <si>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</si>
  <si>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</si>
  <si>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</si>
  <si>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</si>
  <si>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</si>
  <si>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</si>
  <si>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</si>
  <si>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</si>
  <si>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</si>
  <si>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</si>
  <si>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</si>
  <si>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</si>
  <si>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</si>
  <si>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</si>
  <si>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</si>
  <si>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</si>
  <si>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</si>
  <si>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</si>
  <si>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</si>
  <si>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</si>
  <si>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</si>
  <si>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</si>
  <si>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</si>
  <si>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</si>
  <si>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</si>
  <si>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</si>
  <si>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</si>
  <si>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</si>
  <si>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</si>
  <si>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</si>
  <si>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</si>
  <si>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</si>
  <si>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</si>
  <si>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</si>
  <si>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</si>
  <si>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</si>
  <si>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</si>
  <si>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</si>
  <si>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</si>
  <si>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</si>
  <si>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</si>
  <si>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</si>
  <si>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</si>
  <si>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</si>
  <si>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</si>
  <si>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</si>
  <si>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</si>
  <si>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</si>
  <si>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</si>
  <si>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</si>
  <si>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</si>
  <si>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</si>
  <si>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</si>
  <si>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</si>
  <si>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</si>
  <si>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</si>
  <si>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</si>
  <si>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</si>
  <si>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</si>
  <si>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</si>
  <si>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</si>
  <si>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</si>
  <si>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</si>
  <si>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</si>
  <si>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</si>
  <si>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</si>
  <si>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</si>
  <si>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</si>
  <si>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</si>
  <si>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</si>
  <si>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</si>
  <si>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</si>
  <si>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</si>
  <si>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</si>
  <si>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</si>
  <si>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</si>
  <si>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</si>
  <si>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</si>
  <si>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</si>
  <si>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</si>
  <si>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</si>
  <si>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</si>
  <si>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</si>
  <si>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</si>
  <si>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</si>
  <si>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</si>
  <si>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</si>
  <si>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</si>
  <si>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</si>
  <si>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</si>
  <si>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</si>
  <si>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</si>
  <si>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</si>
  <si>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</si>
  <si>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</si>
  <si>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</si>
  <si>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</si>
  <si>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</si>
  <si>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</si>
  <si>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</si>
  <si>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</si>
  <si>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</si>
  <si>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</si>
  <si>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</si>
  <si>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</si>
  <si>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</si>
  <si>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</si>
  <si>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</si>
  <si>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</si>
  <si>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</si>
  <si>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</si>
  <si>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</si>
  <si>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</si>
  <si>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</si>
  <si>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</si>
  <si>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</si>
  <si>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</si>
  <si>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</si>
  <si>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</si>
  <si>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</si>
  <si>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</si>
  <si>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</si>
  <si>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</si>
  <si>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</si>
  <si>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</si>
  <si>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</si>
  <si>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</si>
  <si>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</si>
  <si>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</si>
  <si>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</si>
  <si>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</si>
  <si>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</si>
  <si>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</si>
  <si>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</si>
  <si>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</si>
  <si>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</si>
  <si>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</si>
  <si>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</si>
  <si>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</si>
  <si>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</si>
  <si>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</si>
  <si>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</si>
  <si>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</si>
  <si>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</si>
  <si>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</si>
  <si>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</si>
  <si>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</si>
  <si>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</si>
  <si>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</si>
  <si>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</si>
  <si>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</si>
  <si>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</si>
  <si>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</si>
  <si>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</si>
  <si>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</si>
  <si>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</si>
  <si>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</si>
  <si>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</si>
  <si>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</si>
  <si>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</si>
  <si>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</si>
  <si>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</si>
  <si>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</si>
  <si>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</si>
  <si>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</si>
  <si>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</si>
  <si>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</si>
  <si>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</si>
  <si>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</si>
  <si>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</si>
  <si>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</si>
  <si>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</si>
  <si>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</si>
  <si>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</si>
  <si>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</si>
  <si>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</si>
  <si>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</si>
  <si>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</si>
  <si>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</si>
  <si>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</si>
  <si>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</si>
  <si>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</si>
  <si>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</si>
  <si>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</si>
  <si>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</si>
  <si>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</si>
  <si>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</si>
  <si>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</si>
  <si>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</si>
  <si>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</si>
  <si>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</si>
  <si>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</si>
  <si>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</si>
  <si>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</si>
  <si>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</si>
  <si>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</si>
  <si>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</si>
  <si>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</si>
  <si>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</si>
  <si>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</si>
  <si>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</si>
  <si>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</si>
  <si>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</si>
  <si>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</si>
  <si>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</si>
  <si>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</si>
  <si>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</si>
  <si>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</si>
  <si>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</si>
  <si>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</si>
  <si>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</si>
  <si>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</si>
  <si>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</si>
  <si>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</si>
  <si>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</si>
  <si>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</si>
  <si>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</si>
  <si>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</si>
  <si>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</si>
  <si>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</si>
  <si>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</si>
  <si>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</si>
  <si>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</si>
  <si>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</si>
  <si>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</si>
  <si>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</si>
  <si>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</si>
  <si>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</si>
  <si>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</si>
  <si>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</si>
  <si>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</si>
  <si>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</si>
  <si>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</si>
  <si>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</si>
  <si>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</si>
  <si>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</si>
  <si>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</si>
  <si>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</si>
  <si>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</si>
  <si>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</si>
  <si>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</si>
  <si>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</si>
  <si>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</si>
  <si>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</si>
  <si>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</si>
  <si>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</si>
  <si>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</si>
  <si>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</si>
  <si>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</si>
  <si>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</si>
  <si>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</si>
  <si>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</si>
  <si>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</si>
  <si>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</si>
  <si>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</si>
  <si>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</si>
  <si>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</si>
  <si>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</si>
  <si>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</si>
  <si>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</si>
  <si>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</si>
  <si>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</si>
  <si>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</si>
  <si>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</si>
  <si>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</si>
  <si>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</si>
  <si>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</si>
  <si>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</si>
  <si>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</si>
  <si>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</si>
  <si>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</si>
  <si>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</si>
  <si>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</si>
  <si>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</si>
  <si>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</si>
  <si>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</si>
  <si>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</si>
  <si>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</si>
  <si>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</si>
  <si>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</si>
  <si>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</si>
  <si>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</si>
  <si>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</si>
  <si>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</si>
  <si>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</si>
  <si>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</si>
  <si>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</si>
  <si>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</si>
  <si>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</si>
  <si>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</si>
  <si>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</si>
  <si>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</si>
  <si>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</si>
  <si>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</si>
  <si>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</si>
  <si>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</si>
  <si>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</si>
  <si>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</si>
  <si>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</si>
  <si>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</si>
  <si>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</si>
  <si>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</si>
  <si>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</si>
  <si>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</si>
  <si>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</si>
  <si>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</si>
  <si>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</si>
  <si>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</si>
  <si>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</si>
  <si>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</si>
  <si>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</si>
  <si>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</si>
  <si>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</si>
  <si>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</si>
  <si>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</si>
  <si>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</si>
  <si>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</si>
  <si>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</si>
  <si>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</si>
  <si>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</si>
  <si>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</si>
  <si>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</si>
  <si>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</si>
  <si>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</si>
  <si>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</si>
  <si>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</si>
  <si>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</si>
  <si>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</si>
  <si>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</si>
  <si>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</si>
  <si>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</si>
  <si>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</si>
  <si>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</si>
  <si>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</si>
  <si>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</si>
  <si>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</si>
  <si>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</si>
  <si>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</si>
  <si>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</si>
  <si>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</si>
  <si>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</si>
  <si>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</si>
  <si>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</si>
  <si>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</si>
  <si>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</si>
  <si>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</si>
  <si>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</si>
  <si>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</si>
  <si>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</si>
  <si>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</si>
  <si>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</si>
  <si>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</si>
  <si>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</si>
  <si>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</si>
  <si>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</si>
  <si>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</si>
  <si>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</si>
  <si>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</si>
  <si>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</si>
  <si>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</si>
  <si>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</si>
  <si>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</si>
  <si>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</si>
  <si>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</si>
  <si>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</si>
  <si>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</si>
  <si>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</si>
  <si>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</si>
  <si>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</si>
  <si>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</si>
  <si>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</si>
  <si>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</si>
  <si>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</si>
  <si>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</si>
  <si>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</si>
  <si>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</si>
  <si>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</si>
  <si>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</si>
  <si>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</si>
  <si>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</si>
  <si>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</si>
  <si>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</si>
  <si>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</si>
  <si>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</si>
  <si>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</si>
  <si>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</si>
  <si>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</si>
  <si>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</si>
  <si>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</si>
  <si>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</si>
  <si>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</si>
  <si>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</si>
  <si>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</si>
  <si>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</si>
  <si>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</si>
  <si>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</si>
  <si>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</si>
  <si>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</si>
  <si>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</si>
  <si>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</si>
  <si>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</si>
  <si>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</si>
  <si>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</si>
  <si>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</si>
  <si>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</si>
  <si>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</si>
  <si>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</si>
  <si>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</si>
  <si>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</si>
  <si>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</si>
  <si>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</si>
  <si>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</si>
  <si>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</si>
  <si>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</si>
  <si>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</si>
  <si>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</si>
  <si>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</si>
  <si>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</si>
  <si>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</si>
  <si>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</si>
  <si>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</si>
  <si>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</si>
  <si>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</si>
  <si>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</si>
  <si>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</si>
  <si>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</si>
  <si>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</si>
  <si>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</si>
  <si>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</si>
  <si>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</si>
  <si>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</si>
  <si>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</si>
  <si>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</si>
  <si>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</si>
  <si>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</si>
  <si>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</si>
  <si>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</si>
  <si>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</si>
  <si>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</si>
  <si>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</si>
  <si>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</si>
  <si>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</si>
  <si>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</si>
  <si>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</si>
  <si>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</si>
  <si>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</si>
  <si>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</si>
  <si>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</si>
  <si>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</si>
  <si>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</si>
  <si>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</si>
  <si>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</si>
  <si>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</si>
  <si>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</si>
  <si>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</si>
  <si>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</si>
  <si>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</si>
  <si>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</si>
  <si>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</si>
  <si>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</si>
  <si>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</si>
  <si>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</si>
  <si>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</si>
  <si>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</si>
  <si>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</si>
  <si>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</si>
  <si>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</si>
  <si>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</si>
  <si>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</si>
  <si>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</si>
  <si>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</si>
  <si>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</si>
  <si>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</si>
  <si>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</si>
  <si>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</si>
  <si>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</si>
  <si>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</si>
  <si>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</si>
  <si>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</si>
  <si>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</si>
  <si>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</si>
  <si>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</si>
  <si>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</si>
  <si>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</si>
  <si>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</si>
  <si>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</si>
  <si>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</si>
  <si>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</si>
  <si>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</si>
  <si>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</si>
  <si>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</si>
  <si>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</si>
  <si>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</si>
  <si>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</si>
  <si>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</si>
  <si>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</si>
  <si>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</si>
  <si>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</si>
  <si>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</si>
  <si>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</si>
  <si>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</si>
  <si>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</si>
  <si>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</si>
  <si>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</si>
  <si>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</si>
  <si>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</si>
  <si>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</si>
  <si>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</si>
  <si>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</si>
  <si>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</si>
  <si>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</si>
  <si>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</si>
  <si>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</si>
  <si>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</si>
  <si>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</si>
  <si>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</si>
  <si>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</si>
  <si>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</si>
  <si>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</si>
  <si>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</si>
  <si>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</si>
  <si>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</si>
  <si>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</si>
  <si>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</si>
  <si>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</si>
  <si>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</si>
  <si>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</si>
  <si>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</si>
  <si>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</si>
  <si>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</si>
  <si>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</si>
  <si>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</si>
  <si>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</si>
  <si>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</si>
  <si>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</si>
  <si>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</si>
  <si>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</si>
  <si>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</si>
  <si>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</si>
  <si>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</si>
  <si>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</si>
  <si>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</si>
  <si>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</si>
  <si>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</si>
  <si>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</si>
  <si>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</si>
  <si>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</si>
  <si>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</si>
  <si>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</si>
  <si>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</si>
  <si>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</si>
  <si>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</si>
  <si>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</si>
  <si>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</si>
  <si>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</si>
  <si>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</si>
  <si>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</si>
  <si>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</si>
  <si>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</si>
  <si>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</si>
  <si>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</si>
  <si>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</si>
  <si>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</si>
  <si>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</si>
  <si>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</si>
  <si>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</si>
  <si>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</si>
  <si>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</si>
  <si>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</si>
  <si>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</si>
  <si>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</si>
  <si>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</si>
  <si>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</si>
  <si>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</si>
  <si>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</si>
  <si>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</si>
  <si>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</si>
  <si>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</si>
  <si>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</si>
  <si>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</si>
  <si>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</si>
  <si>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</si>
  <si>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</si>
  <si>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</si>
  <si>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</si>
  <si>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</si>
  <si>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</si>
  <si>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</si>
  <si>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</si>
  <si>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</si>
  <si>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</si>
  <si>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</si>
  <si>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</si>
  <si>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</si>
  <si>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</si>
  <si>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</si>
  <si>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</si>
  <si>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</si>
  <si>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</si>
  <si>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</si>
  <si>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</si>
  <si>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</si>
  <si>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</si>
  <si>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</si>
  <si>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</si>
  <si>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</si>
  <si>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</si>
  <si>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</si>
  <si>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</si>
  <si>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</si>
  <si>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</si>
  <si>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</si>
  <si>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</si>
  <si>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</si>
  <si>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</si>
  <si>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</si>
  <si>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</si>
  <si>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</si>
  <si>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</si>
  <si>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</si>
  <si>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</si>
  <si>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</si>
  <si>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</si>
  <si>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</si>
  <si>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</si>
  <si>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</si>
  <si>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</si>
  <si>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</si>
  <si>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</si>
  <si>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</si>
  <si>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</si>
  <si>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</si>
  <si>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</si>
  <si>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</si>
  <si>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</si>
  <si>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</si>
  <si>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</si>
  <si>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</si>
  <si>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</si>
  <si>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</si>
  <si>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</si>
  <si>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</si>
  <si>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</si>
  <si>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</si>
  <si>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</si>
  <si>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</si>
  <si>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</si>
  <si>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</si>
  <si>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</si>
  <si>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</si>
  <si>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</si>
  <si>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</si>
  <si>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</si>
  <si>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</si>
  <si>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</si>
  <si>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</si>
  <si>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</si>
  <si>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</si>
  <si>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</si>
  <si>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</si>
  <si>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</si>
  <si>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</si>
  <si>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</si>
  <si>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</si>
  <si>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</si>
  <si>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</si>
  <si>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</si>
  <si>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</si>
  <si>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</si>
  <si>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</si>
  <si>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</si>
  <si>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</si>
  <si>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</si>
  <si>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</si>
  <si>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</si>
  <si>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</si>
  <si>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</si>
  <si>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</si>
  <si>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</si>
  <si>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</si>
  <si>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</si>
  <si>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</si>
  <si>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</si>
  <si>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</si>
  <si>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</si>
  <si>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</si>
  <si>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</si>
  <si>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</si>
  <si>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</si>
  <si>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</si>
  <si>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</si>
  <si>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</si>
  <si>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</si>
  <si>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</si>
  <si>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</si>
  <si>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</si>
  <si>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</si>
  <si>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</si>
  <si>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</si>
  <si>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</si>
  <si>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</si>
  <si>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</si>
  <si>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</si>
  <si>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</si>
  <si>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</si>
  <si>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</si>
  <si>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</si>
  <si>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</si>
  <si>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</si>
  <si>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</si>
  <si>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</si>
  <si>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</si>
  <si>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</si>
  <si>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</si>
  <si>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</si>
  <si>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</si>
  <si>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</si>
  <si>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</si>
  <si>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</si>
  <si>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</si>
  <si>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</si>
  <si>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</si>
  <si>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</si>
  <si>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</si>
  <si>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</si>
  <si>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</si>
  <si>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</si>
  <si>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</si>
  <si>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</si>
  <si>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</si>
  <si>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</si>
  <si>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</si>
  <si>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</si>
  <si>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</si>
  <si>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</si>
  <si>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</si>
  <si>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</si>
  <si>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</si>
  <si>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</si>
  <si>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</si>
  <si>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</si>
  <si>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</si>
  <si>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</si>
  <si>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</si>
  <si>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</si>
  <si>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</si>
  <si>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</si>
  <si>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</si>
  <si>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</si>
  <si>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</si>
  <si>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</si>
  <si>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</si>
  <si>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</si>
  <si>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</si>
  <si>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</si>
  <si>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</si>
  <si>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</si>
  <si>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</si>
  <si>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</si>
  <si>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</si>
  <si>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</si>
  <si>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</si>
  <si>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</si>
  <si>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</si>
  <si>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</si>
  <si>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</si>
  <si>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</si>
  <si>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</si>
  <si>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</si>
  <si>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</si>
  <si>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</si>
  <si>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</si>
  <si>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</si>
  <si>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</si>
  <si>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</si>
  <si>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</si>
  <si>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</si>
  <si>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</si>
  <si>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</si>
  <si>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</si>
  <si>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</si>
  <si>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</si>
  <si>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</si>
  <si>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</si>
  <si>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</si>
  <si>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</si>
  <si>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</si>
  <si>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</si>
  <si>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</si>
  <si>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</si>
  <si>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</si>
  <si>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</si>
  <si>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</si>
  <si>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</si>
  <si>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</si>
  <si>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</si>
  <si>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</si>
  <si>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</si>
  <si>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</si>
  <si>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</si>
  <si>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</si>
  <si>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</si>
  <si>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</si>
  <si>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</si>
  <si>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</si>
  <si>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</si>
  <si>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</si>
  <si>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</si>
  <si>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</si>
  <si>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</si>
  <si>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</si>
  <si>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</si>
  <si>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</si>
  <si>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</si>
  <si>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</si>
  <si>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</si>
  <si>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</si>
  <si>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</si>
  <si>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</si>
  <si>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</si>
  <si>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</si>
  <si>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</si>
  <si>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</si>
  <si>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</si>
  <si>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</si>
  <si>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</si>
  <si>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</si>
  <si>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</si>
  <si>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</si>
  <si>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</si>
  <si>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</si>
  <si>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</si>
  <si>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</si>
  <si>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</si>
  <si>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</si>
  <si>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</si>
  <si>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</si>
  <si>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</si>
  <si>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</si>
  <si>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</si>
  <si>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</si>
  <si>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</si>
  <si>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</si>
  <si>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</si>
  <si>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</si>
  <si>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</si>
  <si>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</si>
  <si>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</si>
  <si>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</si>
  <si>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</si>
  <si>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</si>
  <si>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</si>
  <si>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</si>
  <si>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</si>
  <si>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</si>
  <si>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</si>
  <si>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</si>
  <si>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</si>
  <si>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</si>
  <si>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</si>
  <si>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</si>
  <si>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</si>
  <si>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</si>
  <si>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</si>
  <si>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</si>
  <si>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</si>
  <si>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</si>
  <si>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</si>
  <si>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</si>
  <si>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</si>
  <si>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</si>
  <si>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</si>
  <si>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</si>
  <si>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</si>
  <si>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</si>
  <si>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</si>
  <si>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</si>
  <si>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</si>
  <si>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</si>
  <si>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</si>
  <si>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</si>
  <si>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</si>
  <si>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</si>
  <si>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</si>
  <si>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</si>
  <si>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</si>
  <si>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</si>
  <si>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</si>
  <si>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</si>
  <si>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</si>
  <si>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</si>
  <si>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</si>
  <si>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</si>
  <si>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</si>
  <si>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</si>
  <si>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</si>
  <si>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</si>
  <si>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</si>
  <si>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</si>
  <si>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</si>
  <si>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</si>
  <si>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</si>
  <si>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</si>
  <si>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</si>
  <si>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</si>
  <si>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</si>
  <si>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</si>
  <si>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</si>
  <si>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</si>
  <si>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</si>
  <si>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</si>
  <si>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</si>
  <si>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</si>
  <si>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</si>
  <si>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</si>
  <si>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</si>
  <si>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</si>
  <si>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</si>
  <si>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</si>
  <si>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</si>
  <si>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</si>
  <si>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</si>
  <si>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</si>
  <si>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</si>
  <si>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</si>
  <si>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</si>
  <si>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</si>
  <si>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</si>
  <si>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</si>
  <si>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</si>
  <si>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</si>
  <si>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</si>
  <si>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</si>
  <si>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</si>
  <si>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</si>
  <si>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</si>
  <si>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</si>
  <si>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</si>
  <si>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</si>
  <si>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</si>
  <si>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</si>
  <si>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</si>
  <si>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</si>
  <si>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</si>
  <si>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</si>
  <si>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</si>
  <si>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</si>
  <si>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</si>
  <si>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</si>
  <si>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</si>
  <si>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</si>
  <si>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</si>
  <si>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</si>
  <si>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</si>
  <si>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</si>
  <si>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</si>
  <si>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</si>
  <si>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</si>
  <si>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</si>
  <si>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</si>
  <si>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</si>
  <si>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</si>
  <si>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</si>
  <si>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</si>
  <si>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</si>
  <si>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</si>
  <si>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</si>
  <si>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</si>
  <si>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</si>
  <si>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</si>
  <si>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</si>
  <si>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</si>
  <si>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</si>
  <si>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</si>
  <si>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</si>
  <si>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</si>
  <si>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</si>
  <si>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</si>
  <si>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</si>
  <si>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</si>
  <si>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</si>
  <si>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</si>
  <si>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</si>
  <si>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</si>
  <si>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</si>
  <si>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</si>
  <si>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</si>
  <si>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</si>
  <si>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</si>
  <si>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</si>
  <si>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</si>
  <si>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</si>
  <si>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</si>
  <si>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</si>
  <si>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</si>
  <si>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</si>
  <si>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</si>
  <si>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</si>
  <si>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</si>
  <si>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</si>
  <si>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</si>
  <si>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</si>
  <si>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</si>
  <si>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</si>
  <si>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</si>
  <si>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</si>
  <si>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</si>
  <si>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</si>
  <si>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</si>
  <si>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</si>
  <si>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</si>
  <si>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</si>
  <si>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</si>
  <si>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</si>
  <si>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</si>
  <si>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</si>
  <si>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</si>
  <si>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</si>
  <si>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</si>
  <si>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</si>
  <si>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</si>
  <si>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</si>
  <si>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</si>
  <si>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</si>
  <si>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</si>
  <si>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</si>
  <si>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</si>
  <si>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</si>
  <si>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</si>
  <si>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</si>
  <si>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</si>
  <si>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</si>
  <si>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</si>
  <si>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</si>
  <si>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</si>
  <si>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</si>
  <si>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</si>
  <si>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</si>
  <si>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</si>
  <si>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</si>
  <si>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</si>
  <si>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</si>
  <si>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</si>
  <si>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</si>
  <si>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</si>
  <si>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</si>
  <si>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</si>
  <si>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</si>
  <si>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</si>
  <si>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</si>
  <si>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</si>
  <si>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</si>
  <si>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</si>
  <si>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</si>
  <si>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</si>
  <si>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</si>
  <si>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</si>
  <si>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</si>
  <si>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</si>
  <si>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</si>
  <si>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</si>
  <si>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</si>
  <si>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</si>
  <si>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</si>
  <si>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</si>
  <si>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</si>
  <si>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</si>
  <si>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</si>
  <si>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</si>
  <si>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</si>
  <si>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</si>
  <si>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</si>
  <si>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</si>
  <si>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</si>
  <si>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</si>
  <si>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</si>
  <si>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</si>
  <si>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</si>
  <si>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</si>
  <si>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</si>
  <si>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</si>
  <si>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</si>
  <si>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</si>
  <si>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</si>
  <si>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</si>
  <si>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</si>
  <si>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</si>
  <si>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</si>
  <si>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</si>
  <si>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</si>
  <si>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</si>
  <si>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</si>
  <si>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</si>
  <si>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</si>
  <si>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</si>
  <si>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</si>
  <si>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</si>
  <si>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</si>
  <si>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</si>
  <si>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</si>
  <si>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</si>
  <si>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</si>
  <si>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</si>
  <si>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</si>
  <si>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</si>
  <si>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</si>
  <si>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</si>
  <si>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</si>
  <si>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</si>
  <si>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</si>
  <si>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</si>
  <si>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</si>
  <si>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</si>
  <si>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</si>
  <si>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</si>
  <si>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</si>
  <si>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</si>
  <si>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</si>
  <si>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</si>
  <si>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</si>
  <si>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</si>
  <si>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</si>
  <si>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</si>
  <si>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</si>
  <si>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</si>
  <si>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</si>
  <si>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</si>
  <si>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</si>
  <si>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</si>
  <si>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</si>
  <si>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</si>
  <si>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</si>
  <si>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</si>
  <si>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</si>
  <si>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</si>
  <si>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</si>
  <si>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</si>
  <si>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</si>
  <si>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</si>
  <si>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</si>
  <si>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</si>
  <si>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</si>
  <si>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</si>
  <si>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</si>
  <si>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</si>
  <si>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</si>
  <si>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</si>
  <si>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</si>
  <si>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</si>
  <si>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</si>
  <si>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</si>
  <si>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</si>
  <si>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</si>
  <si>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</si>
  <si>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</si>
  <si>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</si>
  <si>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</si>
  <si>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</si>
  <si>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</si>
  <si>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</si>
  <si>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</si>
  <si>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</si>
  <si>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</si>
  <si>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</si>
  <si>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</si>
  <si>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</si>
  <si>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</si>
  <si>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</si>
  <si>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</si>
  <si>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</si>
  <si>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</si>
  <si>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</si>
  <si>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</si>
  <si>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</si>
  <si>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</si>
  <si>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t>2.6</t>
  </si>
  <si>
    <t>2.11</t>
  </si>
  <si>
    <t>TABLE 5. Level 1 and 2 - Abiotic impact - Benthic status</t>
  </si>
  <si>
    <t>TABLE 4. Level 1 and 2 - Abiotic impact - EQS score and EQS category by sampling zone</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</si>
  <si>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</si>
  <si>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</si>
  <si>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</si>
  <si>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</si>
  <si>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</si>
  <si>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</si>
  <si>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</si>
  <si>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t>TABLE 3. Level 1 and 2 - Abiotic impact - Average values and EQS category organized per EQS sampling zone and indicator</t>
  </si>
  <si>
    <t>TABLE 2. Level 3 - Biotic impact - Average values and EQS category organized per EQS sampling zone and indicator</t>
  </si>
  <si>
    <t>TABLE 4. Feed efficiencies per species</t>
  </si>
  <si>
    <t>TABLE 2. Feed use reporting per species</t>
  </si>
  <si>
    <t>TABLE 2. Known escapes per species</t>
  </si>
  <si>
    <t>TABLE 2. Mortality rate per species</t>
  </si>
  <si>
    <t>TABLE 2. Calculated antibiotic load per species</t>
  </si>
  <si>
    <t>Reporting overview</t>
  </si>
  <si>
    <t>Feed - Feed properties, feed use and feed efficiencies</t>
  </si>
  <si>
    <t>Veterinary therapeutants - Antimicrobial use and antibiotic load</t>
  </si>
  <si>
    <t xml:space="preserve">DATA FIELDS
In this reporting template, each column in each table is colour coded. These colours correspond to the following:
- Blue fields are mandatory and must be completed (if applicable) to fulfill the data submission requirement under the ASC Farm Standard;
- Grey fields are voluntary, these may be used to provide further information on the reported data;
- Orange fields are prepopulated or automated to calculate the metric indicator of concern using data provided in blue fields  and applying the method intended by ASC, orange field do not require input and cannot be modified.
</t>
  </si>
  <si>
    <t>ASC certified standing stock, start yr (tonnes)</t>
  </si>
  <si>
    <t>ASC certified standing stock, end yr (tonnes)</t>
  </si>
  <si>
    <t>Standing stock, start yr (# animals)</t>
  </si>
  <si>
    <t>Standing stock, end yr (# animals)</t>
  </si>
  <si>
    <t>ASC certified standing stock, start yr (# animals)</t>
  </si>
  <si>
    <t>ASC certified standing stock, end yr (# animals)</t>
  </si>
  <si>
    <t xml:space="preserve">UPLOAD
When uploading the completed template (in Excel format) to the ASC Data Submission Portal (in MyASC, https://myasc.asc-aqua.org/), each CH must ensure that the correct site within the Unit of Certification (UoC) reported in the template is selected in MyASC. This step confirms that the data submission is correctly linked to the appropriate site.
</t>
  </si>
  <si>
    <r>
      <t>DATA SUBMISSION TEMPLATE
FARM STANDARD - PRODUCTION DATA -</t>
    </r>
    <r>
      <rPr>
        <b/>
        <sz val="11"/>
        <color theme="0" tint="-0.499984740745262"/>
        <rFont val="Montserrat"/>
      </rPr>
      <t xml:space="preserve"> CONTINUOUS PRODUCTION
</t>
    </r>
    <r>
      <rPr>
        <b/>
        <sz val="11"/>
        <rFont val="Montserrat"/>
      </rPr>
      <t xml:space="preserve">
INSTRUCTIONS
</t>
    </r>
    <r>
      <rPr>
        <sz val="11"/>
        <rFont val="Montserrat"/>
      </rPr>
      <t xml:space="preserve">DATA COVERAGE AND SUBMISSION FREQUENCY
Each ASC Certificate Holder (CH) shall report data for each certified and suspended site. Production data shall be submitted each year when the site is in production (the 'reporting year'), regardless if harvest took place or not, within one month after the end of the reporting year (before the 31st of January). For example, data regarding production in 2025 shall be reported to ASC before January 31st, 2026.
The ASC Species Standard Production Data template shall cover data regarding all harvested and non-harvested production in the reporting year at the site.
</t>
    </r>
    <r>
      <rPr>
        <b/>
        <sz val="11"/>
        <color theme="1"/>
        <rFont val="Montserrat"/>
      </rPr>
      <t xml:space="preserve">
</t>
    </r>
    <r>
      <rPr>
        <sz val="11"/>
        <color theme="1"/>
        <rFont val="Montserrat"/>
      </rPr>
      <t>WHO SHOULD USE THIS TEMPLATE?</t>
    </r>
    <r>
      <rPr>
        <b/>
        <sz val="11"/>
        <color theme="1"/>
        <rFont val="Montserrat"/>
      </rPr>
      <t xml:space="preserve">
</t>
    </r>
    <r>
      <rPr>
        <sz val="11"/>
        <color theme="1"/>
        <rFont val="Montserrat"/>
      </rPr>
      <t xml:space="preserve">Data submission templates are customized to accommodate the specific data reporting requirements for each producer. This template is used by producers with a </t>
    </r>
    <r>
      <rPr>
        <b/>
        <sz val="11"/>
        <color theme="1"/>
        <rFont val="Montserrat"/>
      </rPr>
      <t xml:space="preserve">continuous water based </t>
    </r>
    <r>
      <rPr>
        <sz val="11"/>
        <color theme="1"/>
        <rFont val="Montserrat"/>
      </rPr>
      <t xml:space="preserve">production method producing </t>
    </r>
    <r>
      <rPr>
        <b/>
        <sz val="11"/>
        <color theme="1"/>
        <rFont val="Montserrat"/>
      </rPr>
      <t>non-fed abalones</t>
    </r>
    <r>
      <rPr>
        <sz val="11"/>
        <color theme="1"/>
        <rFont val="Montserrat"/>
      </rPr>
      <t>.</t>
    </r>
    <r>
      <rPr>
        <b/>
        <sz val="11"/>
        <color theme="1"/>
        <rFont val="Montserrat"/>
      </rPr>
      <t xml:space="preserve">
</t>
    </r>
  </si>
  <si>
    <t>ABA_WB_MBW_NF_CONTV1.0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</si>
</sst>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
    <numFmt numFmtId="166" formatCode="0.00;0.00;;@"/>
    <numFmt numFmtId="167" formatCode="dd\-mm\-yyyy"/>
    <numFmt numFmtId="168" formatCode="0.0;0.0;;@"/>
  </numFmts>
  <fonts count="22" x14ac:knownFonts="1">
    <font>
      <sz val="11"/>
      <color theme="1"/>
      <name val="Calibri"/>
      <family val="2"/>
      <scheme val="minor"/>
    </font>
    <font>
      <sz val="11"/>
      <color rgb="FF000000"/>
      <name val="Calibri"/>
      <family val="2"/>
      <scheme val="minor"/>
    </font>
    <font>
      <b/>
      <sz val="11"/>
      <color theme="1"/>
      <name val="Calibri"/>
      <family val="2"/>
      <scheme val="minor"/>
    </font>
    <font>
      <u/>
      <sz val="11"/>
      <color theme="10"/>
      <name val="Calibri"/>
      <family val="2"/>
      <scheme val="minor"/>
    </font>
    <font>
      <sz val="9"/>
      <color indexed="81"/>
      <name val="Tahoma"/>
      <family val="2"/>
    </font>
    <font>
      <b/>
      <sz val="9"/>
      <color indexed="81"/>
      <name val="Tahoma"/>
      <family val="2"/>
    </font>
    <font>
      <sz val="8"/>
      <name val="Calibri"/>
      <family val="2"/>
      <scheme val="minor"/>
    </font>
    <font>
      <b/>
      <sz val="11"/>
      <color theme="1"/>
      <name val="Montserrat"/>
    </font>
    <font>
      <sz val="11"/>
      <color theme="1"/>
      <name val="Montserrat"/>
    </font>
    <font>
      <sz val="11"/>
      <name val="Montserrat"/>
    </font>
    <font>
      <b/>
      <sz val="11"/>
      <color rgb="FF000000"/>
      <name val="Montserrat"/>
    </font>
    <font>
      <sz val="11"/>
      <color rgb="FF000000"/>
      <name val="Montserrat"/>
    </font>
    <font>
      <i/>
      <sz val="11"/>
      <color rgb="FF000000"/>
      <name val="Montserrat"/>
    </font>
    <font>
      <b/>
      <sz val="11"/>
      <color theme="0"/>
      <name val="Montserrat"/>
    </font>
    <font>
      <b/>
      <sz val="7"/>
      <color rgb="FF5F6368"/>
      <name val="Arial"/>
      <family val="2"/>
    </font>
    <font>
      <sz val="6"/>
      <color rgb="FF454545"/>
      <name val="Montserrat"/>
    </font>
    <font>
      <sz val="7.7"/>
      <color theme="1"/>
      <name val="Montserrat"/>
    </font>
    <font>
      <b/>
      <sz val="11"/>
      <color rgb="FFFFFFFF"/>
      <name val="Montserrat"/>
    </font>
    <font>
      <sz val="12"/>
      <color theme="1"/>
      <name val="Montserrat"/>
    </font>
    <font>
      <b/>
      <sz val="11"/>
      <name val="Montserrat"/>
    </font>
    <font>
      <u/>
      <sz val="11"/>
      <color theme="10"/>
      <name val="Montserrat"/>
    </font>
    <font>
      <b/>
      <sz val="11"/>
      <color theme="0" tint="-0.499984740745262"/>
      <name val="Montserrat"/>
    </font>
  </fonts>
  <fills count="27">
    <fill>
      <patternFill patternType="none"/>
    </fill>
    <fill>
      <patternFill patternType="gray125"/>
    </fill>
    <fill>
      <patternFill patternType="solid">
        <fgColor theme="5" tint="0.59999389629810485"/>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8" tint="0.59999389629810485"/>
        <bgColor indexed="64"/>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0" tint="-0.14999847407452621"/>
        <bgColor theme="8" tint="0.59999389629810485"/>
      </patternFill>
    </fill>
    <fill>
      <patternFill patternType="solid">
        <fgColor theme="5" tint="0.79998168889431442"/>
        <bgColor theme="8" tint="0.59999389629810485"/>
      </patternFill>
    </fill>
    <fill>
      <patternFill patternType="solid">
        <fgColor theme="0" tint="-0.14999847407452621"/>
        <bgColor theme="8" tint="0.79998168889431442"/>
      </patternFill>
    </fill>
    <fill>
      <patternFill patternType="solid">
        <fgColor theme="9" tint="0.79998168889431442"/>
        <bgColor theme="8" tint="0.79998168889431442"/>
      </patternFill>
    </fill>
    <fill>
      <patternFill patternType="solid">
        <fgColor theme="7" tint="0.59999389629810485"/>
        <bgColor theme="8" tint="0.79998168889431442"/>
      </patternFill>
    </fill>
    <fill>
      <patternFill patternType="solid">
        <fgColor rgb="FFFCE4D6"/>
        <bgColor indexed="64"/>
      </patternFill>
    </fill>
    <fill>
      <patternFill patternType="solid">
        <fgColor rgb="FFFCE4D6"/>
        <bgColor rgb="FF000000"/>
      </patternFill>
    </fill>
    <fill>
      <patternFill patternType="solid">
        <fgColor theme="5" tint="0.79998168889431442"/>
        <bgColor theme="8" tint="0.79998168889431442"/>
      </patternFill>
    </fill>
    <fill>
      <patternFill patternType="solid">
        <fgColor rgb="FF5B9BD5"/>
        <bgColor rgb="FF5B9BD5"/>
      </patternFill>
    </fill>
    <fill>
      <patternFill patternType="solid">
        <fgColor theme="0"/>
        <bgColor indexed="64"/>
      </patternFill>
    </fill>
    <fill>
      <patternFill patternType="solid">
        <fgColor theme="7" tint="0.79998168889431442"/>
        <bgColor indexed="64"/>
      </patternFill>
    </fill>
    <fill>
      <patternFill patternType="solid">
        <fgColor theme="9" tint="0.59999389629810485"/>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style="thick">
        <color theme="0"/>
      </top>
      <bottom/>
      <diagonal/>
    </border>
    <border>
      <left/>
      <right/>
      <top style="thin">
        <color theme="0"/>
      </top>
      <bottom/>
      <diagonal/>
    </border>
    <border>
      <left style="thin">
        <color theme="4" tint="0.39997558519241921"/>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theme="0"/>
      </left>
      <right style="thin">
        <color indexed="64"/>
      </right>
      <top style="thin">
        <color theme="0"/>
      </top>
      <bottom/>
      <diagonal/>
    </border>
    <border>
      <left style="thin">
        <color indexed="64"/>
      </left>
      <right style="thin">
        <color theme="0"/>
      </right>
      <top/>
      <bottom style="thin">
        <color theme="0"/>
      </bottom>
      <diagonal/>
    </border>
    <border>
      <left style="thin">
        <color indexed="64"/>
      </left>
      <right/>
      <top style="thin">
        <color theme="0"/>
      </top>
      <bottom style="thin">
        <color indexed="64"/>
      </bottom>
      <diagonal/>
    </border>
    <border>
      <left style="thin">
        <color theme="0"/>
      </left>
      <right/>
      <top style="thin">
        <color indexed="64"/>
      </top>
      <bottom/>
      <diagonal/>
    </border>
    <border>
      <left style="thin">
        <color theme="0"/>
      </left>
      <right style="thin">
        <color indexed="64"/>
      </right>
      <top style="thin">
        <color indexed="64"/>
      </top>
      <bottom/>
      <diagonal/>
    </border>
    <border>
      <left style="thin">
        <color indexed="64"/>
      </left>
      <right/>
      <top style="thin">
        <color theme="0"/>
      </top>
      <bottom/>
      <diagonal/>
    </border>
    <border>
      <left style="thin">
        <color theme="0"/>
      </left>
      <right/>
      <top style="thin">
        <color theme="0"/>
      </top>
      <bottom style="thin">
        <color indexed="64"/>
      </bottom>
      <diagonal/>
    </border>
    <border>
      <left style="thin">
        <color theme="0"/>
      </left>
      <right style="thin">
        <color indexed="64"/>
      </right>
      <top/>
      <bottom/>
      <diagonal/>
    </border>
    <border>
      <left style="thin">
        <color theme="0"/>
      </left>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theme="0"/>
      </bottom>
      <diagonal/>
    </border>
    <border>
      <left/>
      <right/>
      <top style="thin">
        <color theme="0"/>
      </top>
      <bottom style="thin">
        <color indexed="64"/>
      </bottom>
      <diagonal/>
    </border>
    <border>
      <left style="thin">
        <color theme="0"/>
      </left>
      <right/>
      <top style="thick">
        <color theme="0"/>
      </top>
      <bottom/>
      <diagonal/>
    </border>
  </borders>
  <cellStyleXfs count="2">
    <xf numFmtId="0" fontId="0" fillId="0" borderId="0"/>
    <xf numFmtId="0" fontId="3" fillId="0" borderId="0" applyNumberFormat="0" applyFill="0" applyBorder="0" applyAlignment="0" applyProtection="0"/>
  </cellStyleXfs>
  <cellXfs count="344">
    <xf numFmtId="0" fontId="0" fillId="0" borderId="0" xfId="0"/>
    <xf numFmtId="0" fontId="0" fillId="0" borderId="1" xfId="0" applyBorder="1"/>
    <xf numFmtId="0" fontId="1" fillId="0" borderId="0" xfId="0" applyFont="1"/>
    <xf numFmtId="0" fontId="0" fillId="0" borderId="2" xfId="0" applyBorder="1"/>
    <xf numFmtId="0" fontId="0" fillId="0" borderId="3" xfId="0" applyBorder="1"/>
    <xf numFmtId="0" fontId="2" fillId="0" borderId="1" xfId="0" applyFont="1" applyBorder="1"/>
    <xf numFmtId="0" fontId="0" fillId="0" borderId="7" xfId="0" applyBorder="1"/>
    <xf numFmtId="0" fontId="2" fillId="0" borderId="7" xfId="0" applyFont="1" applyBorder="1"/>
    <xf numFmtId="0" fontId="0" fillId="0" borderId="6" xfId="0" applyBorder="1"/>
    <xf numFmtId="0" fontId="1" fillId="0" borderId="1" xfId="0" applyFont="1" applyBorder="1"/>
    <xf numFmtId="0" fontId="0" fillId="0" borderId="16" xfId="0" applyBorder="1"/>
    <xf numFmtId="165" fontId="0" fillId="0" borderId="1" xfId="0" applyNumberFormat="1" applyBorder="1"/>
    <xf numFmtId="0" fontId="0" fillId="0" borderId="1" xfId="0" applyBorder="1" applyAlignment="1">
      <alignment vertical="center"/>
    </xf>
    <xf numFmtId="0" fontId="9" fillId="0" borderId="1" xfId="0" applyFont="1" applyBorder="1"/>
    <xf numFmtId="0" fontId="8" fillId="0" borderId="0" xfId="0" applyFont="1"/>
    <xf numFmtId="49" fontId="8" fillId="0" borderId="0" xfId="0" applyNumberFormat="1" applyFont="1"/>
    <xf numFmtId="0" fontId="8" fillId="0" borderId="0" xfId="0" applyFont="1" applyAlignment="1">
      <alignment wrapText="1"/>
    </xf>
    <xf numFmtId="0" fontId="7" fillId="0" borderId="0" xfId="0" applyFont="1"/>
    <xf numFmtId="0" fontId="8" fillId="2" borderId="0" xfId="0" applyFont="1" applyFill="1"/>
    <xf numFmtId="0" fontId="11" fillId="0" borderId="0" xfId="0" applyFont="1"/>
    <xf numFmtId="0" fontId="8" fillId="6" borderId="0" xfId="0" applyFont="1" applyFill="1"/>
    <xf numFmtId="0" fontId="12" fillId="0" borderId="0" xfId="0" applyFont="1"/>
    <xf numFmtId="0" fontId="7" fillId="7" borderId="0" xfId="0" applyFont="1" applyFill="1" applyAlignment="1">
      <alignment horizontal="left" vertical="top" wrapText="1"/>
    </xf>
    <xf numFmtId="0" fontId="8" fillId="0" borderId="0" xfId="0" applyFont="1" applyAlignment="1">
      <alignment horizontal="left" vertical="top" wrapText="1"/>
    </xf>
    <xf numFmtId="0" fontId="7" fillId="8" borderId="0" xfId="0" applyFont="1" applyFill="1" applyAlignment="1">
      <alignment horizontal="left" vertical="top" wrapText="1"/>
    </xf>
    <xf numFmtId="0" fontId="7" fillId="14" borderId="0" xfId="0" applyFont="1" applyFill="1" applyAlignment="1">
      <alignment horizontal="left" vertical="top" wrapText="1"/>
    </xf>
    <xf numFmtId="2" fontId="8" fillId="2" borderId="0" xfId="0" applyNumberFormat="1" applyFont="1" applyFill="1"/>
    <xf numFmtId="165" fontId="8" fillId="0" borderId="0" xfId="0" applyNumberFormat="1" applyFont="1" applyProtection="1">
      <protection locked="0"/>
    </xf>
    <xf numFmtId="165" fontId="8" fillId="3" borderId="0" xfId="0" applyNumberFormat="1" applyFont="1" applyFill="1" applyProtection="1">
      <protection locked="0"/>
    </xf>
    <xf numFmtId="2" fontId="8" fillId="0" borderId="0" xfId="0" applyNumberFormat="1" applyFont="1" applyProtection="1">
      <protection locked="0"/>
    </xf>
    <xf numFmtId="0" fontId="8" fillId="0" borderId="0" xfId="0" applyFont="1" applyProtection="1">
      <protection locked="0"/>
    </xf>
    <xf numFmtId="0" fontId="10" fillId="0" borderId="0" xfId="0" applyFont="1"/>
    <xf numFmtId="165" fontId="8" fillId="0" borderId="0" xfId="0" applyNumberFormat="1" applyFont="1"/>
    <xf numFmtId="0" fontId="7" fillId="0" borderId="0" xfId="0" applyFont="1" applyAlignment="1">
      <alignment horizontal="left" vertical="top" wrapText="1"/>
    </xf>
    <xf numFmtId="165" fontId="8" fillId="2" borderId="0" xfId="0" applyNumberFormat="1" applyFont="1" applyFill="1"/>
    <xf numFmtId="0" fontId="7" fillId="14" borderId="0" xfId="0" applyFont="1" applyFill="1" applyAlignment="1">
      <alignment horizontal="left" vertical="top"/>
    </xf>
    <xf numFmtId="1" fontId="8" fillId="0" borderId="0" xfId="0" applyNumberFormat="1" applyFont="1" applyProtection="1">
      <protection locked="0"/>
    </xf>
    <xf numFmtId="0" fontId="13" fillId="0" borderId="0" xfId="0" applyFont="1"/>
    <xf numFmtId="2" fontId="8" fillId="0" borderId="0" xfId="0" applyNumberFormat="1" applyFont="1"/>
    <xf numFmtId="1" fontId="8" fillId="0" borderId="0" xfId="0" applyNumberFormat="1" applyFont="1"/>
    <xf numFmtId="0" fontId="13" fillId="8" borderId="8" xfId="0" applyFont="1" applyFill="1" applyBorder="1"/>
    <xf numFmtId="0" fontId="13" fillId="8" borderId="9" xfId="0" applyFont="1" applyFill="1" applyBorder="1"/>
    <xf numFmtId="1" fontId="13" fillId="8" borderId="17" xfId="0" applyNumberFormat="1" applyFont="1" applyFill="1" applyBorder="1"/>
    <xf numFmtId="0" fontId="8" fillId="2" borderId="10" xfId="0" applyFont="1" applyFill="1" applyBorder="1"/>
    <xf numFmtId="1" fontId="9" fillId="2" borderId="11" xfId="0" applyNumberFormat="1" applyFont="1" applyFill="1" applyBorder="1"/>
    <xf numFmtId="1" fontId="8" fillId="2" borderId="11" xfId="0" applyNumberFormat="1" applyFont="1" applyFill="1" applyBorder="1"/>
    <xf numFmtId="1" fontId="8" fillId="2" borderId="18" xfId="0" applyNumberFormat="1" applyFont="1" applyFill="1" applyBorder="1"/>
    <xf numFmtId="14" fontId="8" fillId="0" borderId="0" xfId="0" applyNumberFormat="1" applyFont="1"/>
    <xf numFmtId="0" fontId="7" fillId="7" borderId="0" xfId="0" applyFont="1" applyFill="1" applyAlignment="1">
      <alignment vertical="top" wrapText="1"/>
    </xf>
    <xf numFmtId="0" fontId="7" fillId="14" borderId="0" xfId="0" applyFont="1" applyFill="1" applyAlignment="1">
      <alignment vertical="top" wrapText="1"/>
    </xf>
    <xf numFmtId="1" fontId="7" fillId="0" borderId="0" xfId="0" applyNumberFormat="1" applyFont="1" applyAlignment="1">
      <alignment vertical="top" wrapText="1"/>
    </xf>
    <xf numFmtId="0" fontId="7" fillId="8" borderId="0" xfId="0" applyFont="1" applyFill="1" applyAlignment="1">
      <alignment vertical="top" wrapText="1"/>
    </xf>
    <xf numFmtId="0" fontId="7" fillId="7" borderId="0" xfId="0" applyFont="1" applyFill="1" applyAlignment="1">
      <alignment vertical="top"/>
    </xf>
    <xf numFmtId="0" fontId="7" fillId="14" borderId="0" xfId="0" applyFont="1" applyFill="1" applyAlignment="1">
      <alignment vertical="top"/>
    </xf>
    <xf numFmtId="1" fontId="7" fillId="14" borderId="0" xfId="0" applyNumberFormat="1" applyFont="1" applyFill="1" applyAlignment="1">
      <alignment vertical="top" wrapText="1"/>
    </xf>
    <xf numFmtId="0" fontId="8" fillId="12" borderId="0" xfId="0" applyFont="1" applyFill="1"/>
    <xf numFmtId="0" fontId="8" fillId="10" borderId="11" xfId="0" applyFont="1" applyFill="1" applyBorder="1"/>
    <xf numFmtId="0" fontId="13" fillId="7" borderId="0" xfId="0" applyFont="1" applyFill="1" applyAlignment="1">
      <alignment horizontal="left" vertical="top" wrapText="1"/>
    </xf>
    <xf numFmtId="0" fontId="13" fillId="8" borderId="0" xfId="0" applyFont="1" applyFill="1" applyAlignment="1">
      <alignment horizontal="left" vertical="top" wrapText="1"/>
    </xf>
    <xf numFmtId="0" fontId="13" fillId="14" borderId="0" xfId="0" applyFont="1" applyFill="1" applyAlignment="1">
      <alignment horizontal="left" vertical="top" wrapText="1"/>
    </xf>
    <xf numFmtId="0" fontId="13" fillId="13" borderId="0" xfId="0" applyFont="1" applyFill="1" applyAlignment="1">
      <alignment horizontal="left" vertical="top" wrapText="1"/>
    </xf>
    <xf numFmtId="0" fontId="8" fillId="0" borderId="0" xfId="0" applyFont="1" applyAlignment="1">
      <alignment horizontal="left" vertical="top"/>
    </xf>
    <xf numFmtId="0" fontId="13" fillId="8" borderId="0" xfId="0" applyFont="1" applyFill="1" applyAlignment="1">
      <alignment horizontal="left" vertical="top"/>
    </xf>
    <xf numFmtId="0" fontId="8" fillId="8" borderId="0" xfId="0" applyFont="1" applyFill="1" applyAlignment="1">
      <alignment horizontal="left" vertical="top"/>
    </xf>
    <xf numFmtId="0" fontId="13" fillId="13" borderId="8" xfId="0" applyFont="1" applyFill="1" applyBorder="1"/>
    <xf numFmtId="0" fontId="13" fillId="13" borderId="17" xfId="0" applyFont="1" applyFill="1" applyBorder="1"/>
    <xf numFmtId="17" fontId="8" fillId="12" borderId="0" xfId="0" applyNumberFormat="1" applyFont="1" applyFill="1" applyAlignment="1">
      <alignment horizontal="left"/>
    </xf>
    <xf numFmtId="0" fontId="15" fillId="0" borderId="0" xfId="0" applyFont="1"/>
    <xf numFmtId="0" fontId="8" fillId="9" borderId="11" xfId="0" applyFont="1" applyFill="1" applyBorder="1"/>
    <xf numFmtId="0" fontId="8" fillId="4" borderId="0" xfId="0" applyFont="1" applyFill="1"/>
    <xf numFmtId="0" fontId="8" fillId="18" borderId="11" xfId="0" applyFont="1" applyFill="1" applyBorder="1"/>
    <xf numFmtId="0" fontId="8" fillId="5" borderId="0" xfId="0" applyFont="1" applyFill="1"/>
    <xf numFmtId="0" fontId="8" fillId="19" borderId="11" xfId="0" applyFont="1" applyFill="1" applyBorder="1"/>
    <xf numFmtId="0" fontId="9" fillId="0" borderId="0" xfId="0" applyFont="1"/>
    <xf numFmtId="165" fontId="8" fillId="16" borderId="0" xfId="0" applyNumberFormat="1" applyFont="1" applyFill="1"/>
    <xf numFmtId="2" fontId="8" fillId="12" borderId="0" xfId="0" applyNumberFormat="1" applyFont="1" applyFill="1"/>
    <xf numFmtId="0" fontId="13" fillId="13" borderId="9" xfId="0" applyFont="1" applyFill="1" applyBorder="1" applyAlignment="1">
      <alignment horizontal="left" vertical="top" wrapText="1"/>
    </xf>
    <xf numFmtId="0" fontId="13" fillId="0" borderId="0" xfId="0" applyFont="1" applyAlignment="1">
      <alignment horizontal="left" vertical="top" wrapText="1"/>
    </xf>
    <xf numFmtId="0" fontId="8" fillId="8" borderId="17" xfId="0" applyFont="1" applyFill="1" applyBorder="1" applyAlignment="1">
      <alignment horizontal="left" vertical="top"/>
    </xf>
    <xf numFmtId="165" fontId="8" fillId="12" borderId="0" xfId="0" applyNumberFormat="1" applyFont="1" applyFill="1"/>
    <xf numFmtId="0" fontId="13" fillId="13" borderId="19" xfId="0" applyFont="1" applyFill="1" applyBorder="1"/>
    <xf numFmtId="0" fontId="13" fillId="13" borderId="25" xfId="0" applyFont="1" applyFill="1" applyBorder="1"/>
    <xf numFmtId="0" fontId="13" fillId="13" borderId="20" xfId="0" applyFont="1" applyFill="1" applyBorder="1"/>
    <xf numFmtId="0" fontId="8" fillId="0" borderId="0" xfId="0" applyFont="1" applyAlignment="1">
      <alignment vertical="center"/>
    </xf>
    <xf numFmtId="0" fontId="13" fillId="13" borderId="17" xfId="0" applyFont="1" applyFill="1" applyBorder="1" applyAlignment="1">
      <alignment horizontal="left" vertical="top" wrapText="1"/>
    </xf>
    <xf numFmtId="0" fontId="8" fillId="9" borderId="18" xfId="0" applyFont="1" applyFill="1" applyBorder="1"/>
    <xf numFmtId="0" fontId="8" fillId="10" borderId="18" xfId="0" applyFont="1" applyFill="1" applyBorder="1"/>
    <xf numFmtId="0" fontId="8" fillId="9" borderId="24" xfId="0" applyFont="1" applyFill="1" applyBorder="1"/>
    <xf numFmtId="0" fontId="8" fillId="9" borderId="22" xfId="0" applyFont="1" applyFill="1" applyBorder="1"/>
    <xf numFmtId="0" fontId="13" fillId="13" borderId="19" xfId="0" applyFont="1" applyFill="1" applyBorder="1" applyAlignment="1">
      <alignment horizontal="left" vertical="top" wrapText="1"/>
    </xf>
    <xf numFmtId="0" fontId="13" fillId="13" borderId="25" xfId="0" applyFont="1" applyFill="1" applyBorder="1" applyAlignment="1">
      <alignment horizontal="left" vertical="top" wrapText="1"/>
    </xf>
    <xf numFmtId="0" fontId="13" fillId="13" borderId="20" xfId="0" applyFont="1" applyFill="1" applyBorder="1" applyAlignment="1">
      <alignment horizontal="left" vertical="top" wrapText="1"/>
    </xf>
    <xf numFmtId="0" fontId="13" fillId="13" borderId="8" xfId="0" applyFont="1" applyFill="1" applyBorder="1" applyAlignment="1">
      <alignment horizontal="left" vertical="top" wrapText="1"/>
    </xf>
    <xf numFmtId="17" fontId="8" fillId="12" borderId="0" xfId="0" applyNumberFormat="1" applyFont="1" applyFill="1"/>
    <xf numFmtId="0" fontId="8" fillId="9" borderId="10" xfId="0" applyFont="1" applyFill="1" applyBorder="1"/>
    <xf numFmtId="0" fontId="13" fillId="7" borderId="20" xfId="0" applyFont="1" applyFill="1" applyBorder="1" applyAlignment="1">
      <alignment horizontal="left" vertical="top" wrapText="1"/>
    </xf>
    <xf numFmtId="0" fontId="8" fillId="10" borderId="10" xfId="0" applyFont="1" applyFill="1" applyBorder="1"/>
    <xf numFmtId="0" fontId="8" fillId="9" borderId="21" xfId="0" applyFont="1" applyFill="1" applyBorder="1"/>
    <xf numFmtId="0" fontId="13" fillId="0" borderId="25" xfId="0" applyFont="1" applyBorder="1" applyAlignment="1">
      <alignment horizontal="left" vertical="top" wrapText="1"/>
    </xf>
    <xf numFmtId="0" fontId="1" fillId="0" borderId="2" xfId="0" applyFont="1" applyBorder="1"/>
    <xf numFmtId="2" fontId="7" fillId="7" borderId="0" xfId="0" applyNumberFormat="1" applyFont="1" applyFill="1" applyAlignment="1">
      <alignment horizontal="left" vertical="top" wrapText="1"/>
    </xf>
    <xf numFmtId="0" fontId="8" fillId="8" borderId="0" xfId="0" applyFont="1" applyFill="1" applyAlignment="1">
      <alignment horizontal="left" vertical="top" wrapText="1"/>
    </xf>
    <xf numFmtId="0" fontId="10" fillId="0" borderId="1" xfId="0" applyFont="1" applyBorder="1" applyAlignment="1">
      <alignment wrapText="1"/>
    </xf>
    <xf numFmtId="0" fontId="11" fillId="12" borderId="0" xfId="0" applyFont="1" applyFill="1"/>
    <xf numFmtId="0" fontId="9" fillId="6" borderId="0" xfId="0" applyFont="1" applyFill="1"/>
    <xf numFmtId="0" fontId="13" fillId="14" borderId="20" xfId="0" applyFont="1" applyFill="1" applyBorder="1" applyAlignment="1">
      <alignment horizontal="left" vertical="top" wrapText="1"/>
    </xf>
    <xf numFmtId="0" fontId="13" fillId="8" borderId="20" xfId="0" applyFont="1" applyFill="1" applyBorder="1" applyAlignment="1">
      <alignment horizontal="left" vertical="top" wrapText="1"/>
    </xf>
    <xf numFmtId="165" fontId="8" fillId="16" borderId="26" xfId="0" applyNumberFormat="1" applyFont="1" applyFill="1" applyBorder="1"/>
    <xf numFmtId="1" fontId="8" fillId="12" borderId="0" xfId="0" applyNumberFormat="1" applyFont="1" applyFill="1" applyAlignment="1">
      <alignment horizontal="left"/>
    </xf>
    <xf numFmtId="0" fontId="8" fillId="20" borderId="0" xfId="0" applyFont="1" applyFill="1"/>
    <xf numFmtId="0" fontId="11" fillId="21" borderId="0" xfId="0" applyFont="1" applyFill="1"/>
    <xf numFmtId="0" fontId="8" fillId="12" borderId="13" xfId="0" applyFont="1" applyFill="1" applyBorder="1"/>
    <xf numFmtId="0" fontId="8" fillId="12" borderId="15" xfId="0" applyFont="1" applyFill="1" applyBorder="1"/>
    <xf numFmtId="0" fontId="8" fillId="12" borderId="29" xfId="0" applyFont="1" applyFill="1" applyBorder="1"/>
    <xf numFmtId="17" fontId="8" fillId="16" borderId="13" xfId="0" applyNumberFormat="1" applyFont="1" applyFill="1" applyBorder="1" applyAlignment="1">
      <alignment horizontal="left"/>
    </xf>
    <xf numFmtId="0" fontId="8" fillId="12" borderId="14" xfId="0" applyFont="1" applyFill="1" applyBorder="1"/>
    <xf numFmtId="17" fontId="8" fillId="12" borderId="15" xfId="0" applyNumberFormat="1" applyFont="1" applyFill="1" applyBorder="1" applyAlignment="1">
      <alignment horizontal="left"/>
    </xf>
    <xf numFmtId="17" fontId="8" fillId="16" borderId="15" xfId="0" applyNumberFormat="1" applyFont="1" applyFill="1" applyBorder="1" applyAlignment="1">
      <alignment horizontal="left"/>
    </xf>
    <xf numFmtId="0" fontId="8" fillId="12" borderId="30" xfId="0" applyFont="1" applyFill="1" applyBorder="1"/>
    <xf numFmtId="17" fontId="8" fillId="12" borderId="29" xfId="0" applyNumberFormat="1" applyFont="1" applyFill="1" applyBorder="1" applyAlignment="1">
      <alignment horizontal="left"/>
    </xf>
    <xf numFmtId="0" fontId="8" fillId="22" borderId="33" xfId="0" applyFont="1" applyFill="1" applyBorder="1"/>
    <xf numFmtId="0" fontId="8" fillId="16" borderId="11" xfId="0" applyFont="1" applyFill="1" applyBorder="1"/>
    <xf numFmtId="0" fontId="8" fillId="22" borderId="11" xfId="0" applyFont="1" applyFill="1" applyBorder="1"/>
    <xf numFmtId="0" fontId="8" fillId="22" borderId="38" xfId="0" applyFont="1" applyFill="1" applyBorder="1"/>
    <xf numFmtId="0" fontId="8" fillId="16" borderId="33" xfId="0" applyFont="1" applyFill="1" applyBorder="1"/>
    <xf numFmtId="0" fontId="8" fillId="16" borderId="38" xfId="0" applyFont="1" applyFill="1" applyBorder="1"/>
    <xf numFmtId="0" fontId="13" fillId="8" borderId="25" xfId="0" applyFont="1" applyFill="1" applyBorder="1" applyAlignment="1">
      <alignment horizontal="left" vertical="top" wrapText="1"/>
    </xf>
    <xf numFmtId="0" fontId="8" fillId="8" borderId="17" xfId="0" applyFont="1" applyFill="1" applyBorder="1" applyAlignment="1">
      <alignment horizontal="left" vertical="top" wrapText="1"/>
    </xf>
    <xf numFmtId="0" fontId="13" fillId="13" borderId="8" xfId="0" applyFont="1" applyFill="1" applyBorder="1" applyAlignment="1">
      <alignment wrapText="1"/>
    </xf>
    <xf numFmtId="0" fontId="13" fillId="13" borderId="17" xfId="0" applyFont="1" applyFill="1" applyBorder="1" applyAlignment="1">
      <alignment wrapText="1"/>
    </xf>
    <xf numFmtId="165" fontId="8" fillId="22" borderId="27" xfId="0" applyNumberFormat="1" applyFont="1" applyFill="1" applyBorder="1"/>
    <xf numFmtId="17" fontId="8" fillId="16" borderId="45" xfId="0" applyNumberFormat="1" applyFont="1" applyFill="1" applyBorder="1" applyAlignment="1">
      <alignment horizontal="left"/>
    </xf>
    <xf numFmtId="17" fontId="8" fillId="16" borderId="42" xfId="0" applyNumberFormat="1" applyFont="1" applyFill="1" applyBorder="1" applyAlignment="1">
      <alignment horizontal="left"/>
    </xf>
    <xf numFmtId="0" fontId="9" fillId="16" borderId="43" xfId="0" applyFont="1" applyFill="1" applyBorder="1"/>
    <xf numFmtId="0" fontId="9" fillId="22" borderId="22" xfId="0" applyFont="1" applyFill="1" applyBorder="1"/>
    <xf numFmtId="0" fontId="9" fillId="16" borderId="22" xfId="0" applyFont="1" applyFill="1" applyBorder="1"/>
    <xf numFmtId="0" fontId="9" fillId="16" borderId="46" xfId="0" applyFont="1" applyFill="1" applyBorder="1"/>
    <xf numFmtId="0" fontId="9" fillId="22" borderId="43" xfId="0" applyFont="1" applyFill="1" applyBorder="1"/>
    <xf numFmtId="0" fontId="9" fillId="22" borderId="46" xfId="0" applyFont="1" applyFill="1" applyBorder="1"/>
    <xf numFmtId="0" fontId="8" fillId="16" borderId="43" xfId="0" applyFont="1" applyFill="1" applyBorder="1"/>
    <xf numFmtId="0" fontId="8" fillId="16" borderId="22" xfId="0" applyFont="1" applyFill="1" applyBorder="1"/>
    <xf numFmtId="0" fontId="8" fillId="22" borderId="46" xfId="0" applyFont="1" applyFill="1" applyBorder="1"/>
    <xf numFmtId="0" fontId="8" fillId="22" borderId="22" xfId="0" applyFont="1" applyFill="1" applyBorder="1"/>
    <xf numFmtId="0" fontId="8" fillId="16" borderId="20" xfId="0" applyFont="1" applyFill="1" applyBorder="1"/>
    <xf numFmtId="17" fontId="8" fillId="22" borderId="45" xfId="0" applyNumberFormat="1" applyFont="1" applyFill="1" applyBorder="1" applyAlignment="1">
      <alignment horizontal="left"/>
    </xf>
    <xf numFmtId="17" fontId="8" fillId="12" borderId="14" xfId="0" applyNumberFormat="1" applyFont="1" applyFill="1" applyBorder="1" applyAlignment="1">
      <alignment horizontal="left"/>
    </xf>
    <xf numFmtId="17" fontId="8" fillId="12" borderId="30" xfId="0" applyNumberFormat="1" applyFont="1" applyFill="1" applyBorder="1" applyAlignment="1">
      <alignment horizontal="left"/>
    </xf>
    <xf numFmtId="0" fontId="9" fillId="22" borderId="20" xfId="0" applyFont="1" applyFill="1" applyBorder="1"/>
    <xf numFmtId="0" fontId="11" fillId="0" borderId="0" xfId="0" applyFont="1" applyAlignment="1">
      <alignment wrapText="1"/>
    </xf>
    <xf numFmtId="0" fontId="17" fillId="23" borderId="0" xfId="0" applyFont="1" applyFill="1" applyAlignment="1">
      <alignment horizontal="left" vertical="top" wrapText="1"/>
    </xf>
    <xf numFmtId="167" fontId="8" fillId="0" borderId="0" xfId="0" applyNumberFormat="1" applyFont="1" applyAlignment="1" applyProtection="1">
      <alignment horizontal="left" vertical="top" wrapText="1"/>
      <protection locked="0"/>
    </xf>
    <xf numFmtId="167" fontId="8" fillId="0" borderId="0" xfId="0" applyNumberFormat="1" applyFont="1" applyProtection="1">
      <protection locked="0"/>
    </xf>
    <xf numFmtId="165" fontId="7" fillId="0" borderId="0" xfId="0" applyNumberFormat="1" applyFont="1" applyAlignment="1">
      <alignment horizontal="left" vertical="top" wrapText="1"/>
    </xf>
    <xf numFmtId="165" fontId="7" fillId="14" borderId="0" xfId="0" applyNumberFormat="1" applyFont="1" applyFill="1" applyAlignment="1">
      <alignment horizontal="left" vertical="top" wrapText="1"/>
    </xf>
    <xf numFmtId="0" fontId="8" fillId="6" borderId="11" xfId="0" applyFont="1" applyFill="1" applyBorder="1"/>
    <xf numFmtId="0" fontId="8" fillId="6" borderId="24" xfId="0" applyFont="1" applyFill="1" applyBorder="1"/>
    <xf numFmtId="166" fontId="8" fillId="16" borderId="0" xfId="0" applyNumberFormat="1" applyFont="1" applyFill="1"/>
    <xf numFmtId="0" fontId="8" fillId="8" borderId="0" xfId="0" quotePrefix="1" applyFont="1" applyFill="1" applyAlignment="1">
      <alignment horizontal="left" vertical="top" wrapText="1"/>
    </xf>
    <xf numFmtId="167" fontId="11" fillId="0" borderId="0" xfId="0" applyNumberFormat="1" applyFont="1" applyAlignment="1" applyProtection="1">
      <alignment horizontal="left" vertical="top" wrapText="1"/>
      <protection locked="0"/>
    </xf>
    <xf numFmtId="0" fontId="8" fillId="0" borderId="13" xfId="0" applyFont="1" applyBorder="1" applyProtection="1">
      <protection locked="0"/>
    </xf>
    <xf numFmtId="0" fontId="8" fillId="11" borderId="33" xfId="0" applyFont="1" applyFill="1" applyBorder="1" applyProtection="1">
      <protection locked="0"/>
    </xf>
    <xf numFmtId="0" fontId="8" fillId="10" borderId="23" xfId="0" applyFont="1" applyFill="1" applyBorder="1" applyProtection="1">
      <protection locked="0"/>
    </xf>
    <xf numFmtId="0" fontId="8" fillId="9" borderId="10" xfId="0" applyFont="1" applyFill="1" applyBorder="1" applyProtection="1">
      <protection locked="0"/>
    </xf>
    <xf numFmtId="0" fontId="9" fillId="9" borderId="38" xfId="0" applyFont="1" applyFill="1" applyBorder="1" applyProtection="1">
      <protection locked="0"/>
    </xf>
    <xf numFmtId="0" fontId="8" fillId="10" borderId="33" xfId="0" applyFont="1" applyFill="1" applyBorder="1" applyProtection="1">
      <protection locked="0"/>
    </xf>
    <xf numFmtId="0" fontId="8" fillId="10" borderId="11" xfId="0" applyFont="1" applyFill="1" applyBorder="1" applyProtection="1">
      <protection locked="0"/>
    </xf>
    <xf numFmtId="0" fontId="9" fillId="9" borderId="11" xfId="0" applyFont="1" applyFill="1" applyBorder="1" applyProtection="1">
      <protection locked="0"/>
    </xf>
    <xf numFmtId="0" fontId="9" fillId="10" borderId="38" xfId="0" applyFont="1" applyFill="1" applyBorder="1" applyProtection="1">
      <protection locked="0"/>
    </xf>
    <xf numFmtId="0" fontId="9" fillId="3" borderId="12" xfId="0" applyFont="1" applyFill="1" applyBorder="1" applyProtection="1">
      <protection locked="0"/>
    </xf>
    <xf numFmtId="0" fontId="9" fillId="3" borderId="3" xfId="0" applyFont="1" applyFill="1" applyBorder="1" applyProtection="1">
      <protection locked="0"/>
    </xf>
    <xf numFmtId="0" fontId="9" fillId="3" borderId="31" xfId="0" applyFont="1" applyFill="1" applyBorder="1" applyProtection="1">
      <protection locked="0"/>
    </xf>
    <xf numFmtId="0" fontId="8" fillId="17" borderId="12" xfId="0" applyFont="1" applyFill="1" applyBorder="1" applyProtection="1">
      <protection locked="0"/>
    </xf>
    <xf numFmtId="0" fontId="8" fillId="17" borderId="3" xfId="0" applyFont="1" applyFill="1" applyBorder="1" applyProtection="1">
      <protection locked="0"/>
    </xf>
    <xf numFmtId="0" fontId="8" fillId="17" borderId="31" xfId="0" applyFont="1" applyFill="1" applyBorder="1" applyProtection="1">
      <protection locked="0"/>
    </xf>
    <xf numFmtId="0" fontId="8" fillId="17" borderId="34" xfId="0" applyFont="1" applyFill="1" applyBorder="1" applyProtection="1">
      <protection locked="0"/>
    </xf>
    <xf numFmtId="0" fontId="8" fillId="17" borderId="36" xfId="0" applyFont="1" applyFill="1" applyBorder="1" applyProtection="1">
      <protection locked="0"/>
    </xf>
    <xf numFmtId="0" fontId="8" fillId="17" borderId="39" xfId="0" applyFont="1" applyFill="1" applyBorder="1" applyProtection="1">
      <protection locked="0"/>
    </xf>
    <xf numFmtId="0" fontId="8" fillId="15" borderId="34" xfId="0" applyFont="1" applyFill="1" applyBorder="1" applyProtection="1">
      <protection locked="0"/>
    </xf>
    <xf numFmtId="0" fontId="8" fillId="15" borderId="36" xfId="0" applyFont="1" applyFill="1" applyBorder="1" applyProtection="1">
      <protection locked="0"/>
    </xf>
    <xf numFmtId="0" fontId="8" fillId="17" borderId="40" xfId="0" applyFont="1" applyFill="1" applyBorder="1" applyProtection="1">
      <protection locked="0"/>
    </xf>
    <xf numFmtId="0" fontId="9" fillId="9" borderId="33" xfId="0" applyFont="1" applyFill="1" applyBorder="1" applyProtection="1">
      <protection locked="0"/>
    </xf>
    <xf numFmtId="0" fontId="9" fillId="10" borderId="11" xfId="0" applyFont="1" applyFill="1" applyBorder="1" applyProtection="1">
      <protection locked="0"/>
    </xf>
    <xf numFmtId="0" fontId="8" fillId="10" borderId="38" xfId="0" applyFont="1" applyFill="1" applyBorder="1" applyProtection="1">
      <protection locked="0"/>
    </xf>
    <xf numFmtId="167" fontId="8" fillId="9" borderId="18" xfId="0" applyNumberFormat="1" applyFont="1" applyFill="1" applyBorder="1" applyProtection="1">
      <protection locked="0"/>
    </xf>
    <xf numFmtId="167" fontId="8" fillId="10" borderId="18" xfId="0" applyNumberFormat="1" applyFont="1" applyFill="1" applyBorder="1" applyProtection="1">
      <protection locked="0"/>
    </xf>
    <xf numFmtId="167" fontId="8" fillId="10" borderId="22" xfId="0" applyNumberFormat="1" applyFont="1" applyFill="1" applyBorder="1" applyProtection="1">
      <protection locked="0"/>
    </xf>
    <xf numFmtId="0" fontId="8" fillId="0" borderId="14" xfId="0" applyFont="1" applyBorder="1" applyProtection="1">
      <protection locked="0"/>
    </xf>
    <xf numFmtId="0" fontId="8" fillId="0" borderId="30" xfId="0" applyFont="1" applyBorder="1" applyProtection="1">
      <protection locked="0"/>
    </xf>
    <xf numFmtId="17" fontId="8" fillId="0" borderId="13" xfId="0" applyNumberFormat="1" applyFont="1" applyBorder="1" applyAlignment="1" applyProtection="1">
      <alignment horizontal="left"/>
      <protection locked="0"/>
    </xf>
    <xf numFmtId="0" fontId="18" fillId="0" borderId="0" xfId="0" applyFont="1"/>
    <xf numFmtId="0" fontId="8" fillId="22" borderId="48" xfId="0" applyFont="1" applyFill="1" applyBorder="1"/>
    <xf numFmtId="0" fontId="8" fillId="16" borderId="18" xfId="0" applyFont="1" applyFill="1" applyBorder="1"/>
    <xf numFmtId="0" fontId="8" fillId="22" borderId="18" xfId="0" applyFont="1" applyFill="1" applyBorder="1"/>
    <xf numFmtId="0" fontId="8" fillId="16" borderId="48" xfId="0" applyFont="1" applyFill="1" applyBorder="1"/>
    <xf numFmtId="0" fontId="8" fillId="16" borderId="46" xfId="0" applyFont="1" applyFill="1" applyBorder="1"/>
    <xf numFmtId="0" fontId="8" fillId="16" borderId="24" xfId="0" applyFont="1" applyFill="1" applyBorder="1"/>
    <xf numFmtId="0" fontId="8" fillId="22" borderId="0" xfId="0" applyFont="1" applyFill="1"/>
    <xf numFmtId="0" fontId="8" fillId="16" borderId="0" xfId="0" applyFont="1" applyFill="1"/>
    <xf numFmtId="0" fontId="8" fillId="22" borderId="14" xfId="0" applyFont="1" applyFill="1" applyBorder="1"/>
    <xf numFmtId="0" fontId="8" fillId="22" borderId="30" xfId="0" applyFont="1" applyFill="1" applyBorder="1"/>
    <xf numFmtId="165" fontId="8" fillId="16" borderId="0" xfId="0" applyNumberFormat="1" applyFont="1" applyFill="1" applyAlignment="1">
      <alignment horizontal="right"/>
    </xf>
    <xf numFmtId="166" fontId="8" fillId="16" borderId="0" xfId="0" applyNumberFormat="1" applyFont="1" applyFill="1" applyAlignment="1">
      <alignment horizontal="right"/>
    </xf>
    <xf numFmtId="165" fontId="8" fillId="16" borderId="0" xfId="0" applyNumberFormat="1" applyFont="1" applyFill="1" applyAlignment="1">
      <alignment horizontal="left"/>
    </xf>
    <xf numFmtId="0" fontId="9" fillId="0" borderId="14" xfId="0" applyFont="1" applyBorder="1" applyProtection="1">
      <protection locked="0"/>
    </xf>
    <xf numFmtId="0" fontId="9" fillId="0" borderId="0" xfId="0" applyFont="1" applyProtection="1">
      <protection locked="0"/>
    </xf>
    <xf numFmtId="0" fontId="9" fillId="0" borderId="30" xfId="0" applyFont="1" applyBorder="1" applyProtection="1">
      <protection locked="0"/>
    </xf>
    <xf numFmtId="2" fontId="8" fillId="0" borderId="14" xfId="0" applyNumberFormat="1" applyFont="1" applyBorder="1" applyProtection="1">
      <protection locked="0"/>
    </xf>
    <xf numFmtId="2" fontId="8" fillId="0" borderId="30" xfId="0" applyNumberFormat="1" applyFont="1" applyBorder="1" applyProtection="1">
      <protection locked="0"/>
    </xf>
    <xf numFmtId="164" fontId="8" fillId="9" borderId="43" xfId="0" applyNumberFormat="1" applyFont="1" applyFill="1" applyBorder="1" applyProtection="1">
      <protection locked="0"/>
    </xf>
    <xf numFmtId="164" fontId="8" fillId="10" borderId="22" xfId="0" applyNumberFormat="1" applyFont="1" applyFill="1" applyBorder="1" applyProtection="1">
      <protection locked="0"/>
    </xf>
    <xf numFmtId="164" fontId="8" fillId="9" borderId="46" xfId="0" applyNumberFormat="1" applyFont="1" applyFill="1" applyBorder="1" applyProtection="1">
      <protection locked="0"/>
    </xf>
    <xf numFmtId="164" fontId="8" fillId="10" borderId="43" xfId="0" applyNumberFormat="1" applyFont="1" applyFill="1" applyBorder="1" applyProtection="1">
      <protection locked="0"/>
    </xf>
    <xf numFmtId="164" fontId="8" fillId="9" borderId="22" xfId="0" applyNumberFormat="1" applyFont="1" applyFill="1" applyBorder="1" applyProtection="1">
      <protection locked="0"/>
    </xf>
    <xf numFmtId="164" fontId="9" fillId="10" borderId="43" xfId="0" applyNumberFormat="1" applyFont="1" applyFill="1" applyBorder="1" applyProtection="1">
      <protection locked="0"/>
    </xf>
    <xf numFmtId="164" fontId="8" fillId="10" borderId="46" xfId="0" applyNumberFormat="1" applyFont="1" applyFill="1" applyBorder="1" applyProtection="1">
      <protection locked="0"/>
    </xf>
    <xf numFmtId="164" fontId="8" fillId="9" borderId="20" xfId="0" applyNumberFormat="1" applyFont="1" applyFill="1" applyBorder="1" applyProtection="1">
      <protection locked="0"/>
    </xf>
    <xf numFmtId="0" fontId="8" fillId="15" borderId="44" xfId="0" applyFont="1" applyFill="1" applyBorder="1" applyProtection="1">
      <protection locked="0"/>
    </xf>
    <xf numFmtId="0" fontId="8" fillId="17" borderId="44" xfId="0" applyFont="1" applyFill="1" applyBorder="1" applyProtection="1">
      <protection locked="0"/>
    </xf>
    <xf numFmtId="0" fontId="8" fillId="17" borderId="47" xfId="0" applyFont="1" applyFill="1" applyBorder="1" applyProtection="1">
      <protection locked="0"/>
    </xf>
    <xf numFmtId="164" fontId="8" fillId="10" borderId="20" xfId="0" applyNumberFormat="1" applyFont="1" applyFill="1" applyBorder="1" applyProtection="1">
      <protection locked="0"/>
    </xf>
    <xf numFmtId="164" fontId="9" fillId="9" borderId="43" xfId="0" applyNumberFormat="1" applyFont="1" applyFill="1" applyBorder="1" applyProtection="1">
      <protection locked="0"/>
    </xf>
    <xf numFmtId="0" fontId="9" fillId="3" borderId="44" xfId="0" applyFont="1" applyFill="1" applyBorder="1" applyProtection="1">
      <protection locked="0"/>
    </xf>
    <xf numFmtId="164" fontId="9" fillId="10" borderId="22" xfId="0" applyNumberFormat="1" applyFont="1" applyFill="1" applyBorder="1" applyProtection="1">
      <protection locked="0"/>
    </xf>
    <xf numFmtId="0" fontId="9" fillId="3" borderId="40" xfId="0" applyFont="1" applyFill="1" applyBorder="1" applyProtection="1">
      <protection locked="0"/>
    </xf>
    <xf numFmtId="164" fontId="9" fillId="9" borderId="22" xfId="0" applyNumberFormat="1" applyFont="1" applyFill="1" applyBorder="1" applyProtection="1">
      <protection locked="0"/>
    </xf>
    <xf numFmtId="164" fontId="9" fillId="10" borderId="46" xfId="0" applyNumberFormat="1" applyFont="1" applyFill="1" applyBorder="1" applyProtection="1">
      <protection locked="0"/>
    </xf>
    <xf numFmtId="164" fontId="8" fillId="10" borderId="27" xfId="0" applyNumberFormat="1" applyFont="1" applyFill="1" applyBorder="1" applyProtection="1">
      <protection locked="0"/>
    </xf>
    <xf numFmtId="164" fontId="8" fillId="9" borderId="27" xfId="0" applyNumberFormat="1" applyFont="1" applyFill="1" applyBorder="1" applyProtection="1">
      <protection locked="0"/>
    </xf>
    <xf numFmtId="14" fontId="8" fillId="0" borderId="13" xfId="0" applyNumberFormat="1" applyFont="1" applyBorder="1" applyProtection="1">
      <protection locked="0"/>
    </xf>
    <xf numFmtId="14" fontId="8" fillId="12" borderId="15" xfId="0" applyNumberFormat="1" applyFont="1" applyFill="1" applyBorder="1"/>
    <xf numFmtId="14" fontId="8" fillId="12" borderId="29" xfId="0" applyNumberFormat="1" applyFont="1" applyFill="1" applyBorder="1"/>
    <xf numFmtId="0" fontId="8" fillId="3" borderId="0" xfId="0" applyFont="1" applyFill="1" applyProtection="1">
      <protection locked="0"/>
    </xf>
    <xf numFmtId="164" fontId="8" fillId="0" borderId="0" xfId="0" applyNumberFormat="1" applyFont="1" applyProtection="1">
      <protection locked="0"/>
    </xf>
    <xf numFmtId="1" fontId="8" fillId="3" borderId="0" xfId="0" applyNumberFormat="1" applyFont="1" applyFill="1" applyProtection="1">
      <protection locked="0"/>
    </xf>
    <xf numFmtId="168" fontId="8" fillId="0" borderId="0" xfId="0" applyNumberFormat="1" applyFont="1"/>
    <xf numFmtId="0" fontId="8" fillId="2" borderId="0" xfId="0" applyFont="1" applyFill="1" applyAlignment="1">
      <alignment horizontal="right"/>
    </xf>
    <xf numFmtId="164" fontId="8" fillId="2" borderId="0" xfId="0" applyNumberFormat="1" applyFont="1" applyFill="1" applyAlignment="1">
      <alignment horizontal="right"/>
    </xf>
    <xf numFmtId="0" fontId="2" fillId="0" borderId="2" xfId="0" applyFont="1" applyBorder="1"/>
    <xf numFmtId="0" fontId="10" fillId="0" borderId="0" xfId="0" applyFont="1" applyAlignment="1">
      <alignment wrapText="1"/>
    </xf>
    <xf numFmtId="0" fontId="11" fillId="0" borderId="15" xfId="0" applyFont="1" applyBorder="1" applyAlignment="1">
      <alignment wrapText="1"/>
    </xf>
    <xf numFmtId="0" fontId="7" fillId="0" borderId="4" xfId="0" applyFont="1" applyBorder="1"/>
    <xf numFmtId="0" fontId="8" fillId="0" borderId="5" xfId="0" applyFont="1" applyBorder="1"/>
    <xf numFmtId="0" fontId="20" fillId="0" borderId="5" xfId="1" applyFont="1" applyBorder="1"/>
    <xf numFmtId="0" fontId="7" fillId="24" borderId="4" xfId="0" applyFont="1" applyFill="1" applyBorder="1" applyAlignment="1">
      <alignment horizontal="left" vertical="top" wrapText="1"/>
    </xf>
    <xf numFmtId="0" fontId="8" fillId="24" borderId="6" xfId="0" applyFont="1" applyFill="1" applyBorder="1" applyAlignment="1">
      <alignment horizontal="left" vertical="top" wrapText="1"/>
    </xf>
    <xf numFmtId="0" fontId="8" fillId="24" borderId="5" xfId="0" applyFont="1" applyFill="1" applyBorder="1" applyAlignment="1">
      <alignment horizontal="left" vertical="top" wrapText="1"/>
    </xf>
    <xf numFmtId="0" fontId="13" fillId="8" borderId="8" xfId="0" applyFont="1" applyFill="1" applyBorder="1" applyAlignment="1">
      <alignment horizontal="left" vertical="top" wrapText="1"/>
    </xf>
    <xf numFmtId="0" fontId="9" fillId="12" borderId="14" xfId="0" applyFont="1" applyFill="1" applyBorder="1"/>
    <xf numFmtId="0" fontId="9" fillId="12" borderId="30" xfId="0" applyFont="1" applyFill="1" applyBorder="1"/>
    <xf numFmtId="49" fontId="13" fillId="13" borderId="25" xfId="0" applyNumberFormat="1" applyFont="1" applyFill="1" applyBorder="1" applyAlignment="1">
      <alignment horizontal="left" vertical="top" wrapText="1"/>
    </xf>
    <xf numFmtId="2" fontId="8" fillId="0" borderId="14" xfId="0" applyNumberFormat="1" applyFont="1" applyBorder="1" applyAlignment="1" applyProtection="1">
      <alignment horizontal="right"/>
      <protection locked="0"/>
    </xf>
    <xf numFmtId="2" fontId="8" fillId="0" borderId="0" xfId="0" applyNumberFormat="1" applyFont="1" applyAlignment="1" applyProtection="1">
      <alignment horizontal="right"/>
      <protection locked="0"/>
    </xf>
    <xf numFmtId="2" fontId="8" fillId="0" borderId="30" xfId="0" applyNumberFormat="1" applyFont="1" applyBorder="1" applyAlignment="1" applyProtection="1">
      <alignment horizontal="right"/>
      <protection locked="0"/>
    </xf>
    <xf numFmtId="49" fontId="8" fillId="11" borderId="33" xfId="0" applyNumberFormat="1" applyFont="1" applyFill="1" applyBorder="1" applyAlignment="1" applyProtection="1">
      <alignment horizontal="right"/>
      <protection locked="0"/>
    </xf>
    <xf numFmtId="49" fontId="8" fillId="10" borderId="23" xfId="0" applyNumberFormat="1" applyFont="1" applyFill="1" applyBorder="1" applyAlignment="1" applyProtection="1">
      <alignment horizontal="right"/>
      <protection locked="0"/>
    </xf>
    <xf numFmtId="49" fontId="8" fillId="9" borderId="10" xfId="0" applyNumberFormat="1" applyFont="1" applyFill="1" applyBorder="1" applyAlignment="1" applyProtection="1">
      <alignment horizontal="right"/>
      <protection locked="0"/>
    </xf>
    <xf numFmtId="49" fontId="9" fillId="9" borderId="38" xfId="0" applyNumberFormat="1" applyFont="1" applyFill="1" applyBorder="1" applyAlignment="1" applyProtection="1">
      <alignment horizontal="right"/>
      <protection locked="0"/>
    </xf>
    <xf numFmtId="0" fontId="8" fillId="11" borderId="33" xfId="0" applyFont="1" applyFill="1" applyBorder="1" applyAlignment="1" applyProtection="1">
      <alignment horizontal="right"/>
      <protection locked="0"/>
    </xf>
    <xf numFmtId="0" fontId="8" fillId="10" borderId="23" xfId="0" applyFont="1" applyFill="1" applyBorder="1" applyAlignment="1" applyProtection="1">
      <alignment horizontal="right"/>
      <protection locked="0"/>
    </xf>
    <xf numFmtId="0" fontId="8" fillId="9" borderId="10" xfId="0" applyFont="1" applyFill="1" applyBorder="1" applyAlignment="1" applyProtection="1">
      <alignment horizontal="right"/>
      <protection locked="0"/>
    </xf>
    <xf numFmtId="0" fontId="9" fillId="9" borderId="38" xfId="0" applyFont="1" applyFill="1" applyBorder="1" applyAlignment="1" applyProtection="1">
      <alignment horizontal="right"/>
      <protection locked="0"/>
    </xf>
    <xf numFmtId="0" fontId="8" fillId="10" borderId="33" xfId="0" applyFont="1" applyFill="1" applyBorder="1" applyAlignment="1" applyProtection="1">
      <alignment horizontal="right"/>
      <protection locked="0"/>
    </xf>
    <xf numFmtId="0" fontId="8" fillId="10" borderId="11" xfId="0" applyFont="1" applyFill="1" applyBorder="1" applyAlignment="1" applyProtection="1">
      <alignment horizontal="right"/>
      <protection locked="0"/>
    </xf>
    <xf numFmtId="0" fontId="9" fillId="9" borderId="11" xfId="0" applyFont="1" applyFill="1" applyBorder="1" applyAlignment="1" applyProtection="1">
      <alignment horizontal="right"/>
      <protection locked="0"/>
    </xf>
    <xf numFmtId="0" fontId="9" fillId="10" borderId="38" xfId="0" applyFont="1" applyFill="1" applyBorder="1" applyAlignment="1" applyProtection="1">
      <alignment horizontal="right"/>
      <protection locked="0"/>
    </xf>
    <xf numFmtId="0" fontId="9" fillId="9" borderId="33" xfId="0" applyFont="1" applyFill="1" applyBorder="1" applyAlignment="1" applyProtection="1">
      <alignment horizontal="right"/>
      <protection locked="0"/>
    </xf>
    <xf numFmtId="0" fontId="9" fillId="10" borderId="11" xfId="0" applyFont="1" applyFill="1" applyBorder="1" applyAlignment="1" applyProtection="1">
      <alignment horizontal="right"/>
      <protection locked="0"/>
    </xf>
    <xf numFmtId="0" fontId="8" fillId="10" borderId="38" xfId="0" applyFont="1" applyFill="1" applyBorder="1" applyAlignment="1" applyProtection="1">
      <alignment horizontal="right"/>
      <protection locked="0"/>
    </xf>
    <xf numFmtId="0" fontId="13" fillId="13" borderId="28" xfId="0" applyFont="1" applyFill="1" applyBorder="1" applyAlignment="1">
      <alignment wrapText="1"/>
    </xf>
    <xf numFmtId="0" fontId="13" fillId="13" borderId="20" xfId="0" applyFont="1" applyFill="1" applyBorder="1" applyAlignment="1">
      <alignment wrapText="1"/>
    </xf>
    <xf numFmtId="0" fontId="13" fillId="13" borderId="0" xfId="0" applyFont="1" applyFill="1" applyAlignment="1">
      <alignment wrapText="1"/>
    </xf>
    <xf numFmtId="164" fontId="9" fillId="9" borderId="43" xfId="0" applyNumberFormat="1" applyFont="1" applyFill="1" applyBorder="1" applyAlignment="1" applyProtection="1">
      <alignment horizontal="right"/>
      <protection locked="0"/>
    </xf>
    <xf numFmtId="164" fontId="9" fillId="10" borderId="22" xfId="0" applyNumberFormat="1" applyFont="1" applyFill="1" applyBorder="1" applyAlignment="1" applyProtection="1">
      <alignment horizontal="right"/>
      <protection locked="0"/>
    </xf>
    <xf numFmtId="164" fontId="9" fillId="9" borderId="22" xfId="0" applyNumberFormat="1" applyFont="1" applyFill="1" applyBorder="1" applyAlignment="1" applyProtection="1">
      <alignment horizontal="right"/>
      <protection locked="0"/>
    </xf>
    <xf numFmtId="164" fontId="8" fillId="9" borderId="43" xfId="0" applyNumberFormat="1" applyFont="1" applyFill="1" applyBorder="1" applyAlignment="1" applyProtection="1">
      <alignment horizontal="right"/>
      <protection locked="0"/>
    </xf>
    <xf numFmtId="164" fontId="8" fillId="10" borderId="22" xfId="0" applyNumberFormat="1" applyFont="1" applyFill="1" applyBorder="1" applyAlignment="1" applyProtection="1">
      <alignment horizontal="right"/>
      <protection locked="0"/>
    </xf>
    <xf numFmtId="164" fontId="8" fillId="9" borderId="46" xfId="0" applyNumberFormat="1" applyFont="1" applyFill="1" applyBorder="1" applyAlignment="1" applyProtection="1">
      <alignment horizontal="right"/>
      <protection locked="0"/>
    </xf>
    <xf numFmtId="164" fontId="9" fillId="10" borderId="43" xfId="0" applyNumberFormat="1" applyFont="1" applyFill="1" applyBorder="1" applyAlignment="1" applyProtection="1">
      <alignment horizontal="right"/>
      <protection locked="0"/>
    </xf>
    <xf numFmtId="164" fontId="9" fillId="10" borderId="46" xfId="0" applyNumberFormat="1" applyFont="1" applyFill="1" applyBorder="1" applyAlignment="1" applyProtection="1">
      <alignment horizontal="right"/>
      <protection locked="0"/>
    </xf>
    <xf numFmtId="164" fontId="8" fillId="10" borderId="20" xfId="0" applyNumberFormat="1" applyFont="1" applyFill="1" applyBorder="1" applyAlignment="1" applyProtection="1">
      <alignment horizontal="right"/>
      <protection locked="0"/>
    </xf>
    <xf numFmtId="164" fontId="8" fillId="9" borderId="22" xfId="0" applyNumberFormat="1" applyFont="1" applyFill="1" applyBorder="1" applyAlignment="1" applyProtection="1">
      <alignment horizontal="right"/>
      <protection locked="0"/>
    </xf>
    <xf numFmtId="164" fontId="8" fillId="10" borderId="46" xfId="0" applyNumberFormat="1" applyFont="1" applyFill="1" applyBorder="1" applyAlignment="1" applyProtection="1">
      <alignment horizontal="right"/>
      <protection locked="0"/>
    </xf>
    <xf numFmtId="164" fontId="8" fillId="10" borderId="43" xfId="0" applyNumberFormat="1" applyFont="1" applyFill="1" applyBorder="1" applyAlignment="1" applyProtection="1">
      <alignment horizontal="right"/>
      <protection locked="0"/>
    </xf>
    <xf numFmtId="164" fontId="8" fillId="9" borderId="20" xfId="0" applyNumberFormat="1" applyFont="1" applyFill="1" applyBorder="1" applyAlignment="1" applyProtection="1">
      <alignment horizontal="right"/>
      <protection locked="0"/>
    </xf>
    <xf numFmtId="164" fontId="8" fillId="9" borderId="14" xfId="0" applyNumberFormat="1" applyFont="1" applyFill="1" applyBorder="1" applyProtection="1">
      <protection locked="0"/>
    </xf>
    <xf numFmtId="164" fontId="8" fillId="9" borderId="52" xfId="0" applyNumberFormat="1" applyFont="1" applyFill="1" applyBorder="1" applyProtection="1">
      <protection locked="0"/>
    </xf>
    <xf numFmtId="164" fontId="8" fillId="9" borderId="14" xfId="0" applyNumberFormat="1" applyFont="1" applyFill="1" applyBorder="1" applyAlignment="1" applyProtection="1">
      <alignment horizontal="right"/>
      <protection locked="0"/>
    </xf>
    <xf numFmtId="164" fontId="8" fillId="10" borderId="27" xfId="0" applyNumberFormat="1" applyFont="1" applyFill="1" applyBorder="1" applyAlignment="1" applyProtection="1">
      <alignment horizontal="right"/>
      <protection locked="0"/>
    </xf>
    <xf numFmtId="164" fontId="8" fillId="9" borderId="52" xfId="0" applyNumberFormat="1" applyFont="1" applyFill="1" applyBorder="1" applyAlignment="1" applyProtection="1">
      <alignment horizontal="right"/>
      <protection locked="0"/>
    </xf>
    <xf numFmtId="164" fontId="8" fillId="10" borderId="0" xfId="0" applyNumberFormat="1" applyFont="1" applyFill="1" applyProtection="1">
      <protection locked="0"/>
    </xf>
    <xf numFmtId="0" fontId="8" fillId="16" borderId="14" xfId="0" applyFont="1" applyFill="1" applyBorder="1"/>
    <xf numFmtId="0" fontId="8" fillId="12" borderId="51" xfId="0" applyFont="1" applyFill="1" applyBorder="1"/>
    <xf numFmtId="0" fontId="8" fillId="12" borderId="49" xfId="0" applyFont="1" applyFill="1" applyBorder="1"/>
    <xf numFmtId="0" fontId="8" fillId="12" borderId="50" xfId="0" applyFont="1" applyFill="1" applyBorder="1"/>
    <xf numFmtId="0" fontId="8" fillId="12" borderId="4" xfId="0" applyFont="1" applyFill="1" applyBorder="1"/>
    <xf numFmtId="0" fontId="8" fillId="12" borderId="6" xfId="0" applyFont="1" applyFill="1" applyBorder="1"/>
    <xf numFmtId="0" fontId="8" fillId="12" borderId="5" xfId="0" applyFont="1" applyFill="1" applyBorder="1"/>
    <xf numFmtId="0" fontId="8" fillId="0" borderId="4" xfId="0" applyFont="1" applyBorder="1" applyProtection="1">
      <protection locked="0"/>
    </xf>
    <xf numFmtId="0" fontId="8" fillId="11" borderId="32" xfId="0" applyFont="1" applyFill="1" applyBorder="1" applyProtection="1">
      <protection locked="0"/>
    </xf>
    <xf numFmtId="0" fontId="8" fillId="10" borderId="41" xfId="0" applyFont="1" applyFill="1" applyBorder="1" applyProtection="1">
      <protection locked="0"/>
    </xf>
    <xf numFmtId="0" fontId="9" fillId="12" borderId="0" xfId="0" applyFont="1" applyFill="1"/>
    <xf numFmtId="0" fontId="8" fillId="9" borderId="35" xfId="0" applyFont="1" applyFill="1" applyBorder="1" applyProtection="1">
      <protection locked="0"/>
    </xf>
    <xf numFmtId="0" fontId="9" fillId="9" borderId="37" xfId="0" applyFont="1" applyFill="1" applyBorder="1" applyProtection="1">
      <protection locked="0"/>
    </xf>
    <xf numFmtId="0" fontId="8" fillId="10" borderId="35" xfId="0" applyFont="1" applyFill="1" applyBorder="1" applyProtection="1">
      <protection locked="0"/>
    </xf>
    <xf numFmtId="0" fontId="8" fillId="10" borderId="32" xfId="0" applyFont="1" applyFill="1" applyBorder="1" applyProtection="1">
      <protection locked="0"/>
    </xf>
    <xf numFmtId="0" fontId="9" fillId="9" borderId="35" xfId="0" applyFont="1" applyFill="1" applyBorder="1" applyProtection="1">
      <protection locked="0"/>
    </xf>
    <xf numFmtId="0" fontId="9" fillId="10" borderId="37" xfId="0" applyFont="1" applyFill="1" applyBorder="1" applyProtection="1">
      <protection locked="0"/>
    </xf>
    <xf numFmtId="0" fontId="9" fillId="9" borderId="32" xfId="0" applyFont="1" applyFill="1" applyBorder="1" applyProtection="1">
      <protection locked="0"/>
    </xf>
    <xf numFmtId="0" fontId="9" fillId="10" borderId="35" xfId="0" applyFont="1" applyFill="1" applyBorder="1" applyProtection="1">
      <protection locked="0"/>
    </xf>
    <xf numFmtId="0" fontId="8" fillId="10" borderId="37" xfId="0" applyFont="1" applyFill="1" applyBorder="1" applyProtection="1">
      <protection locked="0"/>
    </xf>
    <xf numFmtId="164" fontId="9" fillId="10" borderId="14" xfId="0" applyNumberFormat="1" applyFont="1" applyFill="1" applyBorder="1" applyProtection="1">
      <protection locked="0"/>
    </xf>
    <xf numFmtId="164" fontId="8" fillId="9" borderId="30" xfId="0" applyNumberFormat="1" applyFont="1" applyFill="1" applyBorder="1" applyProtection="1">
      <protection locked="0"/>
    </xf>
    <xf numFmtId="164" fontId="8" fillId="10" borderId="52" xfId="0" applyNumberFormat="1" applyFont="1" applyFill="1" applyBorder="1" applyProtection="1">
      <protection locked="0"/>
    </xf>
    <xf numFmtId="0" fontId="8" fillId="0" borderId="14" xfId="0" applyFont="1" applyBorder="1" applyAlignment="1" applyProtection="1">
      <alignment horizontal="right"/>
      <protection locked="0"/>
    </xf>
    <xf numFmtId="0" fontId="8" fillId="0" borderId="0" xfId="0" applyFont="1" applyAlignment="1" applyProtection="1">
      <alignment horizontal="right"/>
      <protection locked="0"/>
    </xf>
    <xf numFmtId="0" fontId="8" fillId="0" borderId="30" xfId="0" applyFont="1" applyBorder="1" applyAlignment="1" applyProtection="1">
      <alignment horizontal="right"/>
      <protection locked="0"/>
    </xf>
    <xf numFmtId="0" fontId="10" fillId="0" borderId="0" xfId="0" applyFont="1" applyAlignment="1">
      <alignment vertical="center"/>
    </xf>
    <xf numFmtId="0" fontId="11" fillId="0" borderId="0" xfId="0" applyFont="1" applyAlignment="1">
      <alignment vertical="center"/>
    </xf>
    <xf numFmtId="49" fontId="7" fillId="0" borderId="0" xfId="0" applyNumberFormat="1" applyFont="1"/>
    <xf numFmtId="0" fontId="11" fillId="0" borderId="15" xfId="0" applyFont="1" applyBorder="1"/>
    <xf numFmtId="0" fontId="11" fillId="0" borderId="1" xfId="0" applyFont="1" applyBorder="1"/>
    <xf numFmtId="0" fontId="8" fillId="2" borderId="26" xfId="0" applyFont="1" applyFill="1" applyBorder="1"/>
    <xf numFmtId="0" fontId="8" fillId="2" borderId="53" xfId="0" applyFont="1" applyFill="1" applyBorder="1"/>
    <xf numFmtId="0" fontId="8" fillId="2" borderId="27" xfId="0" applyFont="1" applyFill="1" applyBorder="1"/>
    <xf numFmtId="0" fontId="8" fillId="2" borderId="22" xfId="0" applyFont="1" applyFill="1" applyBorder="1"/>
    <xf numFmtId="165" fontId="13" fillId="8" borderId="20" xfId="0" applyNumberFormat="1" applyFont="1" applyFill="1" applyBorder="1" applyAlignment="1">
      <alignment horizontal="left" vertical="top" wrapText="1"/>
    </xf>
    <xf numFmtId="165" fontId="8" fillId="2" borderId="26" xfId="0" applyNumberFormat="1" applyFont="1" applyFill="1" applyBorder="1"/>
    <xf numFmtId="1" fontId="8" fillId="2" borderId="53" xfId="0" applyNumberFormat="1" applyFont="1" applyFill="1" applyBorder="1" applyAlignment="1">
      <alignment horizontal="right"/>
    </xf>
    <xf numFmtId="165" fontId="8" fillId="2" borderId="27" xfId="0" applyNumberFormat="1" applyFont="1" applyFill="1" applyBorder="1"/>
    <xf numFmtId="1" fontId="8" fillId="2" borderId="22" xfId="0" applyNumberFormat="1" applyFont="1" applyFill="1" applyBorder="1" applyAlignment="1">
      <alignment horizontal="right"/>
    </xf>
    <xf numFmtId="0" fontId="2" fillId="25" borderId="1" xfId="0" applyFont="1" applyFill="1" applyBorder="1"/>
    <xf numFmtId="0" fontId="2" fillId="26" borderId="1" xfId="0" applyFont="1" applyFill="1" applyBorder="1"/>
    <xf numFmtId="0" fontId="2" fillId="5" borderId="1" xfId="0" applyFont="1" applyFill="1" applyBorder="1"/>
    <xf numFmtId="166" fontId="8" fillId="0" borderId="0" xfId="0" applyNumberFormat="1" applyFont="1"/>
    <xf numFmtId="0" fontId="8" fillId="16" borderId="13" xfId="0" applyFont="1" applyFill="1" applyBorder="1"/>
    <xf numFmtId="0" fontId="8" fillId="22" borderId="45" xfId="0" applyFont="1" applyFill="1" applyBorder="1"/>
    <xf numFmtId="0" fontId="8" fillId="16" borderId="45" xfId="0" applyFont="1" applyFill="1" applyBorder="1"/>
    <xf numFmtId="0" fontId="8" fillId="12" borderId="45" xfId="0" applyFont="1" applyFill="1" applyBorder="1"/>
    <xf numFmtId="0" fontId="8" fillId="12" borderId="42" xfId="0" applyFont="1" applyFill="1" applyBorder="1"/>
    <xf numFmtId="0" fontId="20" fillId="0" borderId="1" xfId="1" applyFont="1" applyBorder="1" applyAlignment="1"/>
    <xf numFmtId="164" fontId="8" fillId="2" borderId="53" xfId="0" applyNumberFormat="1" applyFont="1" applyFill="1" applyBorder="1" applyAlignment="1">
      <alignment horizontal="right"/>
    </xf>
    <xf numFmtId="164" fontId="8" fillId="2" borderId="22" xfId="0" applyNumberFormat="1" applyFont="1" applyFill="1" applyBorder="1" applyAlignment="1">
      <alignment horizontal="right"/>
    </xf>
    <xf numFmtId="165" fontId="13" fillId="8" borderId="0" xfId="0" applyNumberFormat="1" applyFont="1" applyFill="1" applyAlignment="1">
      <alignment horizontal="left" vertical="top" wrapText="1"/>
    </xf>
    <xf numFmtId="165" fontId="13" fillId="8" borderId="9" xfId="0" applyNumberFormat="1" applyFont="1" applyFill="1" applyBorder="1" applyAlignment="1">
      <alignment horizontal="left" vertical="top" wrapText="1"/>
    </xf>
  </cellXfs>
  <cellStyles count="2">
    <cellStyle name="Hyperlink" xfId="1" builtinId="8"/>
    <cellStyle name="Normal" xfId="0" builtinId="0"/>
  </cellStyles>
  <dxfs count="469">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border diagonalUp="0" diagonalDown="0">
        <left/>
        <right/>
        <top style="thin">
          <color theme="0"/>
        </top>
        <bottom/>
        <vertical/>
        <horizontal/>
      </border>
    </dxf>
    <dxf>
      <border outline="0">
        <left style="thin">
          <color theme="0"/>
        </left>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169" formatCode="yyyy\-mm\-dd"/>
      <fill>
        <patternFill patternType="none">
          <fgColor indexed="64"/>
          <bgColor auto="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5999938962981048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fill>
        <patternFill patternType="solid">
          <fgColor indexed="64"/>
          <bgColor theme="5" tint="0.59999389629810485"/>
        </patternFill>
      </fill>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dxf>
    <dxf>
      <font>
        <strike val="0"/>
        <outline val="0"/>
        <shadow val="0"/>
        <u val="none"/>
        <vertAlign val="baseline"/>
        <name val="Montserrat"/>
        <scheme val="none"/>
      </font>
      <numFmt numFmtId="165" formatCode="0;0;;@"/>
    </dxf>
    <dxf>
      <border outline="0">
        <bottom style="thick">
          <color theme="0"/>
        </bottom>
      </border>
    </dxf>
    <dxf>
      <font>
        <strike val="0"/>
        <outline val="0"/>
        <shadow val="0"/>
        <u val="none"/>
        <vertAlign val="baseline"/>
        <name val="Montserrat"/>
        <scheme val="none"/>
      </font>
      <alignment horizontal="left" vertical="top" textRotation="0" wrapText="1" indent="0" justifyLastLine="0" shrinkToFit="0" readingOrder="0"/>
    </dxf>
    <dxf>
      <font>
        <strike val="0"/>
        <outline val="0"/>
        <shadow val="0"/>
        <u val="none"/>
        <vertAlign val="baseline"/>
        <name val="Montserrat"/>
        <scheme val="none"/>
      </font>
      <fill>
        <patternFill>
          <fgColor indexed="64"/>
          <bgColor theme="0" tint="-0.14999847407452621"/>
        </patternFill>
      </fill>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protection locked="0" hidden="0"/>
    </dxf>
    <dxf>
      <font>
        <strike val="0"/>
        <outline val="0"/>
        <shadow val="0"/>
        <u val="none"/>
        <vertAlign val="baseline"/>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name val="Montserrat"/>
        <scheme val="none"/>
      </font>
      <numFmt numFmtId="165" formatCode="0;0;;@"/>
      <fill>
        <patternFill patternType="none">
          <fgColor indexed="64"/>
          <bgColor auto="1"/>
        </patternFill>
      </fill>
      <protection locked="0" hidden="0"/>
    </dxf>
    <dxf>
      <font>
        <strike val="0"/>
        <outline val="0"/>
        <shadow val="0"/>
        <u val="none"/>
        <vertAlign val="baseline"/>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auto="1"/>
        <name val="Montserrat"/>
        <scheme val="none"/>
      </font>
      <numFmt numFmtId="1" formatCode="0"/>
      <fill>
        <patternFill patternType="solid">
          <fgColor indexed="64"/>
          <bgColor theme="5" tint="0.59999389629810485"/>
        </patternFill>
      </fill>
      <border diagonalUp="0" diagonalDown="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59999389629810485"/>
        </patternFill>
      </fill>
      <border diagonalUp="0" diagonalDown="0">
        <left/>
        <right style="thin">
          <color theme="0"/>
        </right>
        <top style="thin">
          <color theme="0"/>
        </top>
        <bottom style="thin">
          <color theme="0"/>
        </bottom>
      </border>
    </dxf>
    <dxf>
      <border outline="0">
        <top style="thin">
          <color theme="0"/>
        </top>
      </border>
    </dxf>
    <dxf>
      <border outline="0">
        <left style="thin">
          <color theme="0"/>
        </left>
      </border>
    </dxf>
    <dxf>
      <font>
        <strike val="0"/>
        <outline val="0"/>
        <shadow val="0"/>
        <u val="none"/>
        <vertAlign val="baseline"/>
        <sz val="1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border diagonalUp="0" diagonalDown="0" outline="0">
        <left style="thin">
          <color theme="0"/>
        </left>
        <right style="thin">
          <color theme="0"/>
        </right>
        <top/>
        <bottom/>
      </border>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fill>
        <patternFill patternType="solid">
          <fgColor indexed="64"/>
          <bgColor theme="5" tint="0.59999389629810485"/>
        </patternFill>
      </fill>
    </dxf>
    <dxf>
      <font>
        <b/>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0" formatCode="General"/>
      <fill>
        <patternFill patternType="solid">
          <fgColor indexed="64"/>
          <bgColor theme="5" tint="0.59999389629810485"/>
        </patternFill>
      </fill>
    </dxf>
    <dxf>
      <font>
        <strike val="0"/>
        <outline val="0"/>
        <shadow val="0"/>
        <u val="none"/>
        <vertAlign val="baseline"/>
        <sz val="11"/>
        <name val="Montserrat"/>
        <scheme val="none"/>
      </font>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 formatCode="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fill>
        <patternFill patternType="solid">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0" tint="-4.9989318521683403E-2"/>
        </patternFill>
      </fill>
      <alignment horizontal="general" vertical="top"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none">
          <fgColor indexed="64"/>
          <bgColor auto="1"/>
        </patternFill>
      </fill>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numFmt numFmtId="164" formatCode="0.0"/>
      <protection locked="0" hidden="0"/>
    </dxf>
    <dxf>
      <font>
        <strike val="0"/>
        <outline val="0"/>
        <shadow val="0"/>
        <u val="none"/>
        <vertAlign val="baseline"/>
        <sz val="11"/>
        <name val="Montserrat"/>
        <scheme val="none"/>
      </font>
      <fill>
        <patternFill>
          <fgColor indexed="64"/>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general" vertical="top"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30" formatCode="@"/>
      <fill>
        <patternFill patternType="solid">
          <fgColor indexed="64"/>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solid">
          <fgColor indexed="64"/>
          <bgColor theme="5" tint="0.59999389629810485"/>
        </patternFill>
      </fill>
      <border diagonalUp="0" diagonalDown="0">
        <left style="thin">
          <color indexed="64"/>
        </left>
        <right/>
        <top/>
        <bottom/>
        <vertical/>
        <horizontal/>
      </border>
    </dxf>
    <dxf>
      <font>
        <strike val="0"/>
        <outline val="0"/>
        <shadow val="0"/>
        <u val="none"/>
        <vertAlign val="baseline"/>
        <name val="Montserrat"/>
        <scheme val="none"/>
      </font>
      <numFmt numFmtId="19" formatCode="dd/mm/yyyy"/>
      <fill>
        <patternFill patternType="none">
          <fgColor indexed="64"/>
          <bgColor auto="1"/>
        </patternFill>
      </fill>
      <protection locked="0" hidden="0"/>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rgb="FF000000"/>
          <bgColor rgb="FFFCE4D6"/>
        </patternFill>
      </fill>
    </dxf>
    <dxf>
      <font>
        <strike val="0"/>
        <outline val="0"/>
        <shadow val="0"/>
        <u val="none"/>
        <vertAlign val="baseline"/>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rgb="FF000000"/>
          <bgColor rgb="FFFCE4D6"/>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0" formatCode="General"/>
      <fill>
        <patternFill>
          <bgColor rgb="FFFCE4D6"/>
        </patternFill>
      </fill>
    </dxf>
    <dxf>
      <font>
        <strike val="0"/>
        <outline val="0"/>
        <shadow val="0"/>
        <u val="none"/>
        <vertAlign val="baseline"/>
        <name val="Montserrat"/>
        <scheme val="none"/>
      </font>
      <numFmt numFmtId="0" formatCode="General"/>
      <fill>
        <patternFill>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70" formatCode="yyyy\-mm\-dd;@"/>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rgb="FFFCE4D6"/>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indent="0" justifyLastLine="0" shrinkToFit="0" readingOrder="0"/>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i val="0"/>
        <strike val="0"/>
        <condense val="0"/>
        <extend val="0"/>
        <outline val="0"/>
        <shadow val="0"/>
        <u val="none"/>
        <vertAlign val="baseline"/>
        <sz val="11"/>
        <color theme="0"/>
        <name val="Montserrat"/>
        <scheme val="none"/>
      </font>
      <fill>
        <patternFill patternType="none">
          <fgColor indexed="64"/>
          <bgColor auto="1"/>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4" tint="0.39997558519241921"/>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8" tint="0.59999389629810485"/>
        </patternFill>
      </fill>
      <alignment horizontal="left" vertical="bottom" textRotation="0" wrapText="0" indent="0" justifyLastLine="0" shrinkToFit="0" readingOrder="0"/>
      <border diagonalUp="0" diagonalDown="0" outline="0">
        <left style="thin">
          <color theme="0"/>
        </left>
        <right/>
        <top style="thin">
          <color theme="0"/>
        </top>
        <bottom/>
      </border>
    </dxf>
    <dxf>
      <border outline="0">
        <right style="thin">
          <color theme="4" tint="0.39997558519241921"/>
        </right>
        <top style="thin">
          <color theme="4" tint="0.39997558519241921"/>
        </top>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fill>
        <patternFill patternType="none">
          <fgColor indexed="64"/>
          <bgColor indexed="65"/>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6" formatCode="0.00;0.00;;@"/>
      <fill>
        <patternFill patternType="solid">
          <fgColor theme="8" tint="0.59999389629810485"/>
          <bgColor theme="5"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167" formatCode="dd\-mm\-yyyy"/>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strike val="0"/>
        <outline val="0"/>
        <shadow val="0"/>
        <u val="none"/>
        <vertAlign val="baseline"/>
        <sz val="11"/>
        <name val="Montserrat"/>
        <scheme val="none"/>
      </font>
      <fill>
        <patternFill patternType="solid">
          <bgColor theme="5" tint="0.79998168889431442"/>
        </patternFill>
      </fill>
      <alignment horizontal="right" vertical="bottom" textRotation="0" wrapText="0" indent="0" justifyLastLine="0" shrinkToFit="0" readingOrder="0"/>
      <protection locked="1" hidden="0"/>
    </dxf>
    <dxf>
      <font>
        <strike val="0"/>
        <outline val="0"/>
        <shadow val="0"/>
        <u val="none"/>
        <vertAlign val="baseline"/>
        <sz val="11"/>
        <name val="Montserrat"/>
        <scheme val="none"/>
      </font>
      <fill>
        <patternFill patternType="solid">
          <bgColor theme="5" tint="0.79998168889431442"/>
        </patternFill>
      </fill>
      <border outline="0">
        <right style="thin">
          <color theme="0"/>
        </right>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style="thin">
          <color them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style="thin">
          <color them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4" formatCode="0.0"/>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alignment horizontal="right" vertical="bottom" textRotation="0" wrapText="0" indent="0" justifyLastLine="0" shrinkToFit="0" readingOrder="0"/>
      <border diagonalUp="0" diagonalDown="0" outline="0">
        <left/>
        <right/>
        <top style="thin">
          <color theme="0"/>
        </top>
        <bottom/>
      </border>
      <protection locked="0" hidden="0"/>
    </dxf>
    <dxf>
      <font>
        <b val="0"/>
        <i val="0"/>
        <strike val="0"/>
        <condense val="0"/>
        <extend val="0"/>
        <outline val="0"/>
        <shadow val="0"/>
        <u val="none"/>
        <vertAlign val="baseline"/>
        <sz val="11"/>
        <color auto="1"/>
        <name val="Montserrat"/>
        <scheme val="none"/>
      </font>
      <fill>
        <patternFill patternType="solid">
          <fgColor theme="8" tint="0.79998168889431442"/>
          <bgColor theme="5" tint="0.79998168889431442"/>
        </patternFill>
      </fill>
      <border diagonalUp="0" diagonalDown="0" outline="0">
        <left/>
        <right style="thin">
          <color theme="0"/>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5" tint="0.79998168889431442"/>
        </patternFill>
      </fill>
      <alignment horizontal="left" vertical="bottom" textRotation="0" wrapText="0" indent="0" justifyLastLine="0" shrinkToFit="0" readingOrder="0"/>
      <border diagonalUp="0" diagonalDown="0" outline="0">
        <left style="thin">
          <color indexed="64"/>
        </left>
        <right/>
        <top style="thin">
          <color theme="0"/>
        </top>
        <bottom/>
      </border>
    </dxf>
    <dxf>
      <font>
        <b val="0"/>
        <i val="0"/>
        <strike val="0"/>
        <condense val="0"/>
        <extend val="0"/>
        <outline val="0"/>
        <shadow val="0"/>
        <u val="none"/>
        <vertAlign val="baseline"/>
        <sz val="11"/>
        <color theme="1"/>
        <name val="Montserrat"/>
        <scheme val="none"/>
      </font>
      <numFmt numFmtId="170" formatCode="yyyy\-mm\-dd;@"/>
      <fill>
        <patternFill patternType="solid">
          <fgColor theme="8" tint="0.59999389629810485"/>
          <bgColor theme="7" tint="0.79998168889431442"/>
        </patternFill>
      </fill>
      <alignment horizontal="left" vertical="bottom" textRotation="0" wrapText="0" indent="0" justifyLastLine="0" shrinkToFit="0" readingOrder="0"/>
      <border diagonalUp="0" diagonalDown="0" outline="0">
        <left/>
        <right/>
        <top style="thin">
          <color theme="0"/>
        </top>
        <bottom/>
      </border>
    </dxf>
    <dxf>
      <font>
        <b val="0"/>
        <i val="0"/>
        <strike val="0"/>
        <condense val="0"/>
        <extend val="0"/>
        <outline val="0"/>
        <shadow val="0"/>
        <u val="none"/>
        <vertAlign val="baseline"/>
        <sz val="11"/>
        <color theme="1"/>
        <name val="Montserrat"/>
        <scheme val="none"/>
      </font>
      <numFmt numFmtId="169" formatCode="yyyy\-mm\-dd"/>
      <fill>
        <patternFill patternType="solid">
          <fgColor theme="8" tint="0.79998168889431442"/>
          <bgColor theme="8" tint="0.79998168889431442"/>
        </patternFill>
      </fill>
      <border diagonalUp="0" diagonalDown="0" outline="0">
        <left/>
        <right/>
        <top style="thin">
          <color theme="0"/>
        </top>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outline="0">
        <left/>
        <right/>
        <top style="thin">
          <color theme="0"/>
        </top>
        <bottom/>
      </border>
    </dxf>
    <dxf>
      <font>
        <strike val="0"/>
        <outline val="0"/>
        <shadow val="0"/>
        <u val="none"/>
        <vertAlign val="baseline"/>
        <sz val="11"/>
        <name val="Montserrat"/>
        <scheme val="none"/>
      </font>
    </dxf>
    <dxf>
      <font>
        <strike val="0"/>
        <outline val="0"/>
        <shadow val="0"/>
        <u val="none"/>
        <vertAlign val="baseline"/>
        <sz val="11"/>
        <name val="Montserrat"/>
        <scheme val="none"/>
      </font>
      <alignment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dxf>
    <dxf>
      <font>
        <strike val="0"/>
        <outline val="0"/>
        <shadow val="0"/>
        <u val="none"/>
        <vertAlign val="baseline"/>
        <sz val="11"/>
        <name val="Montserrat"/>
        <scheme val="none"/>
      </font>
      <numFmt numFmtId="166" formatCode="0.00;0.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70"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70"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70"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alignment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theme="5" tint="0.79998168889431442"/>
        </patternFill>
      </fill>
      <alignment horizontal="right" textRotation="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67"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71"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numFmt numFmtId="0" formatCode="General"/>
      <fill>
        <patternFill>
          <bgColor theme="5" tint="0.79998168889431442"/>
        </patternFill>
      </fill>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bgColor theme="5" tint="0.79998168889431442"/>
        </patternFill>
      </fill>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theme="8" tint="0.79998168889431442"/>
          <bgColor theme="0" tint="-0.14999847407452621"/>
        </patternFill>
      </fill>
      <border diagonalUp="0" diagonalDown="0">
        <left style="thin">
          <color theme="0"/>
        </left>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fill>
        <patternFill>
          <bgColor theme="5" tint="0.79998168889431442"/>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border diagonalUp="0" diagonalDown="0">
        <left style="thin">
          <color theme="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numFmt numFmtId="167" formatCode="dd\-mm\-yyyy"/>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border>
      <protection locked="0" hidden="0"/>
    </dxf>
    <dxf>
      <font>
        <b val="0"/>
        <i val="0"/>
        <strike val="0"/>
        <condense val="0"/>
        <extend val="0"/>
        <outline val="0"/>
        <shadow val="0"/>
        <u val="none"/>
        <vertAlign val="baseline"/>
        <sz val="11"/>
        <color theme="1"/>
        <name val="Montserrat"/>
        <scheme val="none"/>
      </font>
      <numFmt numFmtId="165" formatCode="0;0;;@"/>
      <fill>
        <patternFill patternType="solid">
          <fgColor theme="8" tint="0.79998168889431442"/>
          <bgColor theme="5" tint="0.79998168889431442"/>
        </patternFill>
      </fill>
      <border diagonalUp="0" diagonalDown="0">
        <left/>
        <right style="thin">
          <color theme="0"/>
        </right>
        <top style="thin">
          <color theme="0"/>
        </top>
        <bottom style="thin">
          <color theme="0"/>
        </bottom>
      </border>
      <protection hidden="0"/>
    </dxf>
    <dxf>
      <font>
        <b val="0"/>
        <i val="0"/>
        <strike val="0"/>
        <condense val="0"/>
        <extend val="0"/>
        <outline val="0"/>
        <shadow val="0"/>
        <u val="none"/>
        <vertAlign val="baseline"/>
        <sz val="11"/>
        <color theme="1"/>
        <name val="Montserrat"/>
        <scheme val="none"/>
      </font>
      <fill>
        <patternFill patternType="solid">
          <fgColor theme="8" tint="0.79998168889431442"/>
          <bgColor theme="8" tint="0.79998168889431442"/>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rgb="FFFFFF00"/>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numFmt numFmtId="165" formatCode="0;0;;@"/>
      <fill>
        <patternFill patternType="solid">
          <fgColor indexed="64"/>
          <bgColor theme="5" tint="0.79998168889431442"/>
        </patternFill>
      </fill>
    </dxf>
    <dxf>
      <font>
        <strike val="0"/>
        <outline val="0"/>
        <shadow val="0"/>
        <u val="none"/>
        <vertAlign val="baseline"/>
        <sz val="11"/>
        <name val="Montserrat"/>
        <scheme val="none"/>
      </font>
      <numFmt numFmtId="165" formatCode="0;0;;@"/>
      <fill>
        <patternFill patternType="solid">
          <fgColor indexed="64"/>
          <bgColor theme="5" tint="0.79998168889431442"/>
        </patternFill>
      </fill>
      <protection hidden="0"/>
    </dxf>
    <dxf>
      <font>
        <b val="0"/>
        <i val="0"/>
        <strike val="0"/>
        <condense val="0"/>
        <extend val="0"/>
        <outline val="0"/>
        <shadow val="0"/>
        <u val="none"/>
        <vertAlign val="baseline"/>
        <sz val="11"/>
        <color rgb="FF000000"/>
        <name val="Montserrat"/>
        <scheme val="none"/>
      </font>
      <fill>
        <patternFill patternType="solid">
          <fgColor theme="8" tint="0.59999389629810485"/>
          <bgColor theme="5" tint="0.79998168889431442"/>
        </patternFill>
      </fill>
    </dxf>
    <dxf>
      <font>
        <strike val="0"/>
        <outline val="0"/>
        <shadow val="0"/>
        <u val="none"/>
        <vertAlign val="baseline"/>
        <sz val="1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protection hidden="0"/>
    </dxf>
    <dxf>
      <font>
        <b val="0"/>
        <i val="0"/>
        <strike val="0"/>
        <condense val="0"/>
        <extend val="0"/>
        <outline val="0"/>
        <shadow val="0"/>
        <u val="none"/>
        <vertAlign val="baseline"/>
        <sz val="11"/>
        <color theme="1"/>
        <name val="Montserrat"/>
        <scheme val="none"/>
      </font>
      <fill>
        <patternFill patternType="solid">
          <fgColor indexed="64"/>
          <bgColor theme="5" tint="0.39997558519241921"/>
        </patternFill>
      </fill>
      <alignment horizontal="left" vertical="top" textRotation="0" wrapText="0" indent="0" justifyLastLine="0" shrinkToFit="0" readingOrder="0"/>
      <protection hidden="0"/>
    </dxf>
    <dxf>
      <font>
        <strike val="0"/>
        <outline val="0"/>
        <shadow val="0"/>
        <u val="none"/>
        <vertAlign val="baseline"/>
        <sz val="11"/>
        <name val="Montserrat"/>
        <scheme val="none"/>
      </font>
      <numFmt numFmtId="0" formatCode="General"/>
      <fill>
        <patternFill patternType="solid">
          <bgColor theme="5" tint="0.79998168889431442"/>
        </patternFill>
      </fill>
      <protection hidden="0"/>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protection hidden="0"/>
    </dxf>
    <dxf>
      <font>
        <strike val="0"/>
        <outline val="0"/>
        <shadow val="0"/>
        <u val="none"/>
        <vertAlign val="baseline"/>
        <sz val="11"/>
        <name val="Montserrat"/>
        <scheme val="none"/>
      </font>
      <numFmt numFmtId="2" formatCode="0.00"/>
      <fill>
        <patternFill patternType="solid">
          <fgColor indexed="64"/>
          <bgColor theme="5" tint="0.79998168889431442"/>
        </patternFill>
      </fill>
      <protection hidden="0"/>
    </dxf>
    <dxf>
      <font>
        <b val="0"/>
        <i val="0"/>
        <strike val="0"/>
        <condense val="0"/>
        <extend val="0"/>
        <outline val="0"/>
        <shadow val="0"/>
        <u val="none"/>
        <vertAlign val="baseline"/>
        <sz val="11"/>
        <color theme="1"/>
        <name val="Montserrat"/>
        <scheme val="none"/>
      </font>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b val="0"/>
        <i val="0"/>
        <strike val="0"/>
        <condense val="0"/>
        <extend val="0"/>
        <outline val="0"/>
        <shadow val="0"/>
        <u val="none"/>
        <vertAlign val="baseline"/>
        <sz val="11"/>
        <color theme="1"/>
        <name val="Montserrat"/>
        <scheme val="none"/>
      </font>
      <numFmt numFmtId="165" formatCode="0;0;;@"/>
      <fill>
        <patternFill patternType="solid">
          <fgColor theme="8" tint="0.59999389629810485"/>
          <bgColor theme="5" tint="0.79998168889431442"/>
        </patternFill>
      </fill>
      <protection hidden="0"/>
    </dxf>
    <dxf>
      <font>
        <strike val="0"/>
        <outline val="0"/>
        <shadow val="0"/>
        <u val="none"/>
        <vertAlign val="baseline"/>
        <sz val="11"/>
        <name val="Montserrat"/>
        <scheme val="none"/>
      </font>
      <fill>
        <patternFill patternType="solid">
          <bgColor theme="5" tint="0.79998168889431442"/>
        </patternFill>
      </fill>
      <protection hidden="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protection hidden="0"/>
    </dxf>
    <dxf>
      <font>
        <strike val="0"/>
        <outline val="0"/>
        <shadow val="0"/>
        <u val="none"/>
        <vertAlign val="baseline"/>
        <sz val="11"/>
        <name val="Montserrat"/>
        <scheme val="none"/>
      </font>
      <fill>
        <patternFill patternType="solid">
          <fgColor theme="8" tint="0.79998168889431442"/>
          <bgColor theme="0" tint="-0.14999847407452621"/>
        </patternFill>
      </fill>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border outline="0">
        <left style="thin">
          <color theme="0"/>
        </left>
      </border>
      <protection locked="0" hidden="0"/>
    </dxf>
    <dxf>
      <font>
        <strike val="0"/>
        <outline val="0"/>
        <shadow val="0"/>
        <u val="none"/>
        <vertAlign val="baseline"/>
        <sz val="11"/>
        <name val="Montserrat"/>
        <scheme val="none"/>
      </font>
      <numFmt numFmtId="30" formatCode="@"/>
      <fill>
        <patternFill>
          <bgColor theme="5" tint="0.79998168889431442"/>
        </patternFill>
      </fill>
      <alignment horizontal="right" vertical="bottom" textRotation="0" wrapText="0" indent="0" justifyLastLine="0" shrinkToFit="0" readingOrder="0"/>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numFmt numFmtId="22" formatCode="mmm/yy"/>
      <fill>
        <patternFill patternType="solid">
          <fgColor theme="8" tint="0.59999389629810485"/>
          <bgColor theme="5" tint="0.79998168889431442"/>
        </patternFill>
      </fill>
      <alignment horizontal="left" vertical="bottom" textRotation="0" wrapText="0" indent="0" justifyLastLine="0" shrinkToFit="0" readingOrder="0"/>
      <border diagonalUp="0" diagonalDown="0">
        <left style="thin">
          <color indexed="64"/>
        </left>
      </border>
      <protection hidden="0"/>
    </dxf>
    <dxf>
      <font>
        <b val="0"/>
        <i val="0"/>
        <strike val="0"/>
        <condense val="0"/>
        <extend val="0"/>
        <outline val="0"/>
        <shadow val="0"/>
        <u val="none"/>
        <vertAlign val="baseline"/>
        <sz val="11"/>
        <color theme="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dxf>
    <dxf>
      <font>
        <strike val="0"/>
        <outline val="0"/>
        <shadow val="0"/>
        <u val="none"/>
        <vertAlign val="baseline"/>
        <sz val="11"/>
        <name val="Montserrat"/>
        <scheme val="none"/>
      </font>
      <numFmt numFmtId="167" formatCode="dd\-mm\-yyyy"/>
      <fill>
        <patternFill patternType="solid">
          <fgColor theme="8" tint="0.59999389629810485"/>
          <bgColor theme="8" tint="0.59999389629810485"/>
        </patternFill>
      </fill>
      <protection locked="0" hidden="0"/>
    </dxf>
    <dxf>
      <font>
        <strike val="0"/>
        <outline val="0"/>
        <shadow val="0"/>
        <u val="none"/>
        <vertAlign val="baseline"/>
        <sz val="11"/>
        <name val="Montserrat"/>
        <scheme val="none"/>
      </font>
      <fill>
        <patternFill patternType="solid">
          <fgColor theme="8" tint="0.59999389629810485"/>
          <bgColor theme="5" tint="0.79998168889431442"/>
        </patternFill>
      </fill>
      <protection hidden="0"/>
    </dxf>
    <dxf>
      <font>
        <strike val="0"/>
        <outline val="0"/>
        <shadow val="0"/>
        <u val="none"/>
        <vertAlign val="baseline"/>
        <sz val="11"/>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 formatCode="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4" formatCode="0.0"/>
      <fill>
        <patternFill patternType="solid">
          <fgColor indexed="64"/>
          <bgColor theme="5" tint="0.59999389629810485"/>
        </patternFill>
      </fill>
      <alignment horizontal="right" vertical="bottom" textRotation="0" wrapText="0" indent="0" justifyLastLine="0" shrinkToFit="0" readingOrder="0"/>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Montserrat"/>
        <scheme val="none"/>
      </font>
      <numFmt numFmtId="165" formatCode="0;0;;@"/>
      <fill>
        <patternFill patternType="solid">
          <fgColor indexed="64"/>
          <bgColor theme="5" tint="0.59999389629810485"/>
        </patternFill>
      </fill>
      <border diagonalUp="0" diagonalDown="0">
        <left/>
        <right/>
        <top style="thin">
          <color theme="0"/>
        </top>
        <bottom/>
        <vertical/>
        <horizontal/>
      </border>
    </dxf>
    <dxf>
      <font>
        <b val="0"/>
        <i val="0"/>
        <strike val="0"/>
        <condense val="0"/>
        <extend val="0"/>
        <outline val="0"/>
        <shadow val="0"/>
        <u val="none"/>
        <vertAlign val="baseline"/>
        <sz val="11"/>
        <color theme="1"/>
        <name val="Montserrat"/>
        <scheme val="none"/>
      </font>
      <fill>
        <patternFill patternType="solid">
          <fgColor indexed="64"/>
          <bgColor theme="5" tint="0.5999938962981048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b val="0"/>
        <i val="0"/>
        <strike val="0"/>
        <condense val="0"/>
        <extend val="0"/>
        <outline val="0"/>
        <shadow val="0"/>
        <u val="none"/>
        <vertAlign val="baseline"/>
        <sz val="11"/>
        <color theme="1"/>
        <name val="Montserrat"/>
        <scheme val="none"/>
      </font>
      <protection locked="0" hidden="0"/>
    </dxf>
    <dxf>
      <font>
        <strike val="0"/>
        <outline val="0"/>
        <shadow val="0"/>
        <u val="none"/>
        <vertAlign val="baseline"/>
        <sz val="11"/>
        <name val="Montserrat"/>
        <scheme val="none"/>
      </font>
      <protection locked="0" hidden="0"/>
    </dxf>
    <dxf>
      <font>
        <strike val="0"/>
        <outline val="0"/>
        <shadow val="0"/>
        <u val="none"/>
        <vertAlign val="baseline"/>
        <sz val="11"/>
        <name val="Montserrat"/>
        <scheme val="none"/>
      </font>
      <numFmt numFmtId="172" formatCode="0.00000"/>
      <fill>
        <patternFill patternType="none">
          <fgColor indexed="64"/>
          <bgColor auto="1"/>
        </patternFill>
      </fill>
      <alignment horizontal="left" vertical="top" textRotation="0" wrapText="1" indent="0" justifyLastLine="0" shrinkToFit="0" readingOrder="0"/>
      <protection locked="0" hidden="0"/>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165" formatCode="0;0;;@"/>
      <fill>
        <patternFill patternType="none">
          <fgColor indexed="64"/>
          <bgColor auto="1"/>
        </patternFill>
      </fill>
      <protection locked="0" hidden="0"/>
    </dxf>
    <dxf>
      <font>
        <strike val="0"/>
        <outline val="0"/>
        <shadow val="0"/>
        <u val="none"/>
        <vertAlign val="baseline"/>
        <sz val="11"/>
        <name val="Montserrat"/>
        <scheme val="none"/>
      </font>
      <protection locked="0" hidden="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Montserrat"/>
        <scheme val="none"/>
      </font>
      <numFmt numFmtId="165" formatCode="0;0;;@"/>
      <fill>
        <patternFill patternType="solid">
          <fgColor indexed="64"/>
          <bgColor theme="0" tint="-0.14999847407452621"/>
        </patternFill>
      </fill>
      <protection locked="0" hidden="0"/>
    </dxf>
    <dxf>
      <font>
        <strike val="0"/>
        <outline val="0"/>
        <shadow val="0"/>
        <u val="none"/>
        <vertAlign val="baseline"/>
        <sz val="11"/>
        <name val="Montserrat"/>
        <scheme val="none"/>
      </font>
      <numFmt numFmtId="2" formatCode="0.00"/>
      <fill>
        <patternFill patternType="solid">
          <fgColor indexed="64"/>
          <bgColor theme="5" tint="0.59999389629810485"/>
        </patternFill>
      </fill>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0" formatCode="General"/>
      <protection locked="0" hidden="0"/>
    </dxf>
    <dxf>
      <font>
        <strike val="0"/>
        <outline val="0"/>
        <shadow val="0"/>
        <u val="none"/>
        <vertAlign val="baseline"/>
        <sz val="11"/>
        <name val="Montserrat"/>
        <scheme val="none"/>
      </font>
      <numFmt numFmtId="0" formatCode="General"/>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strike val="0"/>
        <outline val="0"/>
        <shadow val="0"/>
        <u val="none"/>
        <vertAlign val="baseline"/>
        <sz val="11"/>
        <name val="Montserrat"/>
        <scheme val="none"/>
      </font>
      <numFmt numFmtId="2" formatCode="0.00"/>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b val="0"/>
        <i val="0"/>
        <strike val="0"/>
        <condense val="0"/>
        <extend val="0"/>
        <outline val="0"/>
        <shadow val="0"/>
        <u val="none"/>
        <vertAlign val="baseline"/>
        <sz val="11"/>
        <color theme="1"/>
        <name val="Montserrat"/>
        <scheme val="none"/>
      </font>
      <numFmt numFmtId="167" formatCode="dd\-mm\-yyyy"/>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169" formatCode="yyyy\-mm\-dd"/>
      <protection locked="0" hidden="0"/>
    </dxf>
    <dxf>
      <font>
        <strike val="0"/>
        <outline val="0"/>
        <shadow val="0"/>
        <u val="none"/>
        <vertAlign val="baseline"/>
        <sz val="11"/>
        <name val="Montserrat"/>
        <scheme val="none"/>
      </font>
      <numFmt numFmtId="0" formatCode="General"/>
      <fill>
        <patternFill>
          <fgColor indexed="64"/>
          <bgColor theme="0" tint="-0.14999847407452621"/>
        </patternFill>
      </fill>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protection locked="0" hidden="0"/>
    </dxf>
    <dxf>
      <font>
        <strike val="0"/>
        <outline val="0"/>
        <shadow val="0"/>
        <u val="none"/>
        <vertAlign val="baseline"/>
        <sz val="11"/>
        <name val="Montserrat"/>
        <scheme val="none"/>
      </font>
      <numFmt numFmtId="165" formatCode="0;0;;@"/>
    </dxf>
    <dxf>
      <font>
        <b/>
        <i val="0"/>
        <strike val="0"/>
        <condense val="0"/>
        <extend val="0"/>
        <outline val="0"/>
        <shadow val="0"/>
        <u val="none"/>
        <vertAlign val="baseline"/>
        <sz val="11"/>
        <color theme="1"/>
        <name val="Montserrat"/>
        <scheme val="none"/>
      </font>
      <fill>
        <patternFill patternType="solid">
          <fgColor indexed="64"/>
          <bgColor theme="8"/>
        </patternFill>
      </fill>
      <alignment horizontal="left" vertical="top"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0</xdr:colOff>
      <xdr:row>1</xdr:row>
      <xdr:rowOff>210500</xdr:rowOff>
    </xdr:from>
    <xdr:to>
      <xdr:col>32</xdr:col>
      <xdr:colOff>10794</xdr:colOff>
      <xdr:row>68</xdr:row>
      <xdr:rowOff>202405</xdr:rowOff>
    </xdr:to>
    <xdr:sp macro="" textlink="">
      <xdr:nvSpPr>
        <xdr:cNvPr id="2" name="TextBox 2">
          <a:extLst>
            <a:ext uri="{FF2B5EF4-FFF2-40B4-BE49-F238E27FC236}">
              <a16:creationId xmlns:a16="http://schemas.microsoft.com/office/drawing/2014/main" id="{F8CED9C0-E44F-4C3E-B417-DC51E0228217}"/>
            </a:ext>
          </a:extLst>
        </xdr:cNvPr>
        <xdr:cNvSpPr txBox="1"/>
      </xdr:nvSpPr>
      <xdr:spPr>
        <a:xfrm>
          <a:off x="28682156" y="424813"/>
          <a:ext cx="7440294" cy="1456515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a:solidFill>
                <a:schemeClr val="dk1"/>
              </a:solidFill>
              <a:effectLst/>
              <a:latin typeface="Montserrat" panose="00000500000000000000" pitchFamily="2" charset="0"/>
              <a:ea typeface="+mn-ea"/>
              <a:cs typeface="+mn-cs"/>
            </a:rPr>
            <a:t>Report in table 1 the</a:t>
          </a:r>
          <a:r>
            <a:rPr lang="en-US"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site and production details for the </a:t>
          </a:r>
          <a:r>
            <a:rPr lang="en-US" sz="1100" b="0" i="1">
              <a:solidFill>
                <a:schemeClr val="dk1"/>
              </a:solidFill>
              <a:effectLst/>
              <a:latin typeface="Montserrat" panose="00000500000000000000" pitchFamily="2" charset="0"/>
              <a:ea typeface="+mn-ea"/>
              <a:cs typeface="+mn-cs"/>
            </a:rPr>
            <a:t>ASC</a:t>
          </a:r>
          <a:r>
            <a:rPr lang="en-US" sz="1100" b="0" i="0">
              <a:solidFill>
                <a:schemeClr val="dk1"/>
              </a:solidFill>
              <a:effectLst/>
              <a:latin typeface="Montserrat" panose="00000500000000000000" pitchFamily="2" charset="0"/>
              <a:ea typeface="+mn-ea"/>
              <a:cs typeface="+mn-cs"/>
            </a:rPr>
            <a:t> </a:t>
          </a:r>
          <a:r>
            <a:rPr lang="en-US" sz="1100" b="0" i="1">
              <a:solidFill>
                <a:schemeClr val="dk1"/>
              </a:solidFill>
              <a:effectLst/>
              <a:latin typeface="Montserrat" panose="00000500000000000000" pitchFamily="2" charset="0"/>
              <a:ea typeface="+mn-ea"/>
              <a:cs typeface="+mn-cs"/>
            </a:rPr>
            <a:t>certified</a:t>
          </a:r>
          <a:r>
            <a:rPr lang="en-US" sz="1100" b="0" i="0">
              <a:solidFill>
                <a:schemeClr val="dk1"/>
              </a:solidFill>
              <a:effectLst/>
              <a:latin typeface="Montserrat" panose="00000500000000000000" pitchFamily="2" charset="0"/>
              <a:ea typeface="+mn-ea"/>
              <a:cs typeface="+mn-cs"/>
            </a:rPr>
            <a:t> or </a:t>
          </a:r>
          <a:r>
            <a:rPr lang="en-US" sz="1100" b="0" i="1">
              <a:solidFill>
                <a:schemeClr val="dk1"/>
              </a:solidFill>
              <a:effectLst/>
              <a:latin typeface="Montserrat" panose="00000500000000000000" pitchFamily="2" charset="0"/>
              <a:ea typeface="+mn-ea"/>
              <a:cs typeface="+mn-cs"/>
            </a:rPr>
            <a:t>suspended</a:t>
          </a:r>
          <a:r>
            <a:rPr lang="en-US" sz="1100" b="0" i="0">
              <a:solidFill>
                <a:schemeClr val="dk1"/>
              </a:solidFill>
              <a:effectLst/>
              <a:latin typeface="Montserrat" panose="00000500000000000000" pitchFamily="2" charset="0"/>
              <a:ea typeface="+mn-ea"/>
              <a:cs typeface="+mn-cs"/>
            </a:rPr>
            <a:t> site (use one template</a:t>
          </a:r>
          <a:r>
            <a:rPr lang="en-US" sz="1100" b="0" i="0" baseline="0">
              <a:solidFill>
                <a:schemeClr val="dk1"/>
              </a:solidFill>
              <a:effectLst/>
              <a:latin typeface="Montserrat" panose="00000500000000000000" pitchFamily="2" charset="0"/>
              <a:ea typeface="+mn-ea"/>
              <a:cs typeface="+mn-cs"/>
            </a:rPr>
            <a:t> per site)</a:t>
          </a:r>
          <a:r>
            <a:rPr lang="en-US" sz="1100" b="0" i="0">
              <a:solidFill>
                <a:schemeClr val="dk1"/>
              </a:solidFill>
              <a:effectLst/>
              <a:latin typeface="Montserrat" panose="00000500000000000000" pitchFamily="2" charset="0"/>
              <a:ea typeface="+mn-ea"/>
              <a:cs typeface="+mn-cs"/>
            </a:rPr>
            <a:t>. Use a new row for each </a:t>
          </a:r>
          <a:r>
            <a:rPr lang="en-US" sz="1100" b="0" i="1">
              <a:solidFill>
                <a:schemeClr val="dk1"/>
              </a:solidFill>
              <a:effectLst/>
              <a:latin typeface="Montserrat" panose="00000500000000000000" pitchFamily="2" charset="0"/>
              <a:ea typeface="+mn-ea"/>
              <a:cs typeface="+mn-cs"/>
            </a:rPr>
            <a:t>ASC certified </a:t>
          </a:r>
          <a:r>
            <a:rPr lang="en-US" sz="1100" b="0" i="0">
              <a:solidFill>
                <a:schemeClr val="dk1"/>
              </a:solidFill>
              <a:effectLst/>
              <a:latin typeface="Montserrat" panose="00000500000000000000" pitchFamily="2" charset="0"/>
              <a:ea typeface="+mn-ea"/>
              <a:cs typeface="+mn-cs"/>
            </a:rPr>
            <a:t>species produced at the site and by selecting the site name and filling all the species specific production cycle details.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solidFill>
              <a:schemeClr val="dk1"/>
            </a:solidFill>
            <a:effectLst/>
            <a:latin typeface="Montserrat" panose="00000500000000000000" pitchFamily="2" charset="0"/>
            <a:ea typeface="+mn-ea"/>
            <a:cs typeface="+mn-cs"/>
          </a:endParaRPr>
        </a:p>
        <a:p>
          <a:r>
            <a:rPr lang="en-US" sz="1100" b="0" i="0" baseline="0">
              <a:solidFill>
                <a:schemeClr val="dk1"/>
              </a:solidFill>
              <a:effectLst/>
              <a:latin typeface="Montserrat" panose="00000500000000000000" pitchFamily="2" charset="0"/>
              <a:ea typeface="+mn-ea"/>
              <a:cs typeface="+mn-cs"/>
            </a:rPr>
            <a:t>Specifying production details for each production cycle separately is optional and will not influence metric performance levels that are calculated as production is aggregated per species per farm site.</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i="0" u="sng">
              <a:solidFill>
                <a:schemeClr val="dk1"/>
              </a:solidFill>
              <a:effectLst/>
              <a:latin typeface="Montserrat" panose="00000500000000000000" pitchFamily="2" charset="0"/>
              <a:ea typeface="+mn-ea"/>
              <a:cs typeface="+mn-cs"/>
            </a:rPr>
            <a:t>TABLE 1. Site and</a:t>
          </a:r>
          <a:r>
            <a:rPr lang="en-US" sz="1100" b="1" i="0" u="sng" baseline="0">
              <a:solidFill>
                <a:schemeClr val="dk1"/>
              </a:solidFill>
              <a:effectLst/>
              <a:latin typeface="Montserrat" panose="00000500000000000000" pitchFamily="2" charset="0"/>
              <a:ea typeface="+mn-ea"/>
              <a:cs typeface="+mn-cs"/>
            </a:rPr>
            <a:t> production details</a:t>
          </a:r>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Site name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site name, as listed in MyASC,</a:t>
          </a:r>
          <a:r>
            <a:rPr lang="en-US" sz="1100" baseline="0">
              <a:solidFill>
                <a:schemeClr val="dk1"/>
              </a:solidFill>
              <a:effectLst/>
              <a:latin typeface="Montserrat" panose="00000500000000000000" pitchFamily="2" charset="0"/>
              <a:ea typeface="+mn-ea"/>
              <a:cs typeface="+mn-cs"/>
            </a:rPr>
            <a:t> for which the data is reported for. </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ASC site ID </a:t>
          </a:r>
          <a:r>
            <a:rPr lang="en-US" sz="1100">
              <a:solidFill>
                <a:schemeClr val="dk1"/>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ASC site ID, as listed in MyASC,</a:t>
          </a:r>
          <a:r>
            <a:rPr lang="en-US" sz="1100" baseline="0">
              <a:solidFill>
                <a:schemeClr val="dk1"/>
              </a:solidFill>
              <a:effectLst/>
              <a:latin typeface="Montserrat" pitchFamily="2" charset="0"/>
              <a:ea typeface="+mn-ea"/>
              <a:cs typeface="+mn-cs"/>
            </a:rPr>
            <a:t> for which the data is reported for. </a:t>
          </a:r>
          <a:r>
            <a:rPr lang="en-US" sz="1100">
              <a:solidFill>
                <a:schemeClr val="dk1"/>
              </a:solidFill>
              <a:effectLst/>
              <a:latin typeface="Montserrat" panose="00000500000000000000" pitchFamily="2" charset="0"/>
              <a:ea typeface="+mn-ea"/>
              <a:cs typeface="+mn-cs"/>
            </a:rPr>
            <a:t>The ASC site ID consists of one character (S), followed by seven numbers, for example S0001234.</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Species in production (Latin name)</a:t>
          </a:r>
          <a:r>
            <a:rPr lang="en-US" sz="1100" b="1" baseline="0">
              <a:solidFill>
                <a:schemeClr val="dk1"/>
              </a:solidFill>
              <a:effectLst/>
              <a:latin typeface="Montserrat" panose="00000500000000000000" pitchFamily="2" charset="0"/>
              <a:ea typeface="+mn-ea"/>
              <a:cs typeface="+mn-cs"/>
            </a:rPr>
            <a:t> </a:t>
          </a:r>
          <a:r>
            <a:rPr lang="en-US" sz="1100" b="1">
              <a:solidFill>
                <a:schemeClr val="dk1"/>
              </a:solidFill>
              <a:effectLst/>
              <a:latin typeface="Montserrat" panose="00000500000000000000" pitchFamily="2" charset="0"/>
              <a:ea typeface="+mn-ea"/>
              <a:cs typeface="+mn-cs"/>
            </a:rPr>
            <a:t>(select)</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Latin name (as listed for the site of concern in MyASC) for each species in production</a:t>
          </a:r>
          <a:r>
            <a:rPr lang="en-US" sz="1100" baseline="0">
              <a:solidFill>
                <a:schemeClr val="dk1"/>
              </a:solidFill>
              <a:effectLst/>
              <a:latin typeface="Montserrat" panose="00000500000000000000" pitchFamily="2" charset="0"/>
              <a:ea typeface="+mn-ea"/>
              <a:cs typeface="+mn-cs"/>
            </a:rPr>
            <a:t> </a:t>
          </a:r>
          <a:r>
            <a:rPr lang="en-US" sz="1100" i="0">
              <a:solidFill>
                <a:schemeClr val="dk1"/>
              </a:solidFill>
              <a:effectLst/>
              <a:latin typeface="Montserrat" panose="00000500000000000000" pitchFamily="2" charset="0"/>
              <a:ea typeface="+mn-ea"/>
              <a:cs typeface="+mn-cs"/>
            </a:rPr>
            <a:t>using the dropdown menu</a:t>
          </a:r>
          <a:r>
            <a:rPr lang="en-US" sz="1100" i="1">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Use a new row for any additional </a:t>
          </a:r>
          <a:r>
            <a:rPr lang="en-US" sz="1100" i="1">
              <a:solidFill>
                <a:schemeClr val="dk1"/>
              </a:solidFill>
              <a:effectLst/>
              <a:latin typeface="Montserrat" panose="00000500000000000000" pitchFamily="2" charset="0"/>
              <a:ea typeface="+mn-ea"/>
              <a:cs typeface="+mn-cs"/>
            </a:rPr>
            <a:t>ASC certified </a:t>
          </a:r>
          <a:r>
            <a:rPr lang="en-US" sz="1100">
              <a:solidFill>
                <a:schemeClr val="dk1"/>
              </a:solidFill>
              <a:effectLst/>
              <a:latin typeface="Montserrat" panose="00000500000000000000" pitchFamily="2" charset="0"/>
              <a:ea typeface="+mn-ea"/>
              <a:cs typeface="+mn-cs"/>
            </a:rPr>
            <a:t>species produced at the site.</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Cycle ID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Provide a cycle ID for each ASC certified production cycle. This is user generated and can be any value, as long as it is unique to each production cycle listed here. </a:t>
          </a:r>
        </a:p>
        <a:p>
          <a:endParaRPr lang="en-US"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start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start date for which data is reported for</a:t>
          </a:r>
          <a:r>
            <a:rPr lang="en-US" sz="1100" baseline="0">
              <a:solidFill>
                <a:schemeClr val="dk1"/>
              </a:solidFill>
              <a:effectLst/>
              <a:latin typeface="Montserrat" panose="00000500000000000000" pitchFamily="2" charset="0"/>
              <a:ea typeface="+mn-ea"/>
              <a:cs typeface="+mn-cs"/>
            </a:rPr>
            <a:t>. By default this is January 1st of the year for which data is reported. For example 01-01-2025</a:t>
          </a: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Production cycle end (dd-mm-yyyy)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end date for which data is reported for.</a:t>
          </a:r>
          <a:r>
            <a:rPr lang="en-US" sz="1100" baseline="0">
              <a:solidFill>
                <a:schemeClr val="dk1"/>
              </a:solidFill>
              <a:effectLst/>
              <a:latin typeface="Montserrat" panose="00000500000000000000" pitchFamily="2" charset="0"/>
              <a:ea typeface="+mn-ea"/>
              <a:cs typeface="+mn-cs"/>
            </a:rPr>
            <a:t> By default this is December 31st of the year for which data is reported. For example, 31-12-2025.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start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a:effectLst/>
              <a:latin typeface="Montserrat" panose="00000500000000000000" pitchFamily="2" charset="0"/>
            </a:rPr>
            <a:t>Indicate the volume of the standing stock at the date indicated</a:t>
          </a:r>
          <a:r>
            <a:rPr lang="en-US" baseline="0">
              <a:effectLst/>
              <a:latin typeface="Montserrat" panose="00000500000000000000" pitchFamily="2" charset="0"/>
            </a:rPr>
            <a:t> at </a:t>
          </a:r>
          <a:r>
            <a:rPr lang="en-US" b="0" baseline="0">
              <a:effectLst/>
              <a:latin typeface="Montserrat" panose="00000500000000000000" pitchFamily="2" charset="0"/>
            </a:rPr>
            <a:t>'</a:t>
          </a:r>
          <a:r>
            <a:rPr lang="en-US" sz="1100" b="0">
              <a:solidFill>
                <a:schemeClr val="dk1"/>
              </a:solidFill>
              <a:effectLst/>
              <a:latin typeface="Montserrat" panose="00000500000000000000" pitchFamily="2" charset="0"/>
              <a:ea typeface="+mn-ea"/>
              <a:cs typeface="+mn-cs"/>
            </a:rPr>
            <a:t>Production cycle start'.</a:t>
          </a:r>
          <a:endParaRPr lang="en-US" b="0">
            <a:effectLst/>
            <a:latin typeface="Montserrat" panose="00000500000000000000" pitchFamily="2" charset="0"/>
          </a:endParaRPr>
        </a:p>
        <a:p>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standing stock, end yr (tonnes)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anose="00000500000000000000" pitchFamily="2" charset="0"/>
              <a:ea typeface="+mn-ea"/>
              <a:cs typeface="+mn-cs"/>
            </a:rPr>
            <a:t>Indicate the volume of the standing stock 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US"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stocked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stocked volume of animals (live weight in metric tonnes, 1 tonne = 1000 kg) during the year for all </a:t>
          </a:r>
          <a:r>
            <a:rPr lang="en-GB" sz="1100" i="1">
              <a:solidFill>
                <a:schemeClr val="dk1"/>
              </a:solidFill>
              <a:effectLst/>
              <a:latin typeface="Montserrat" panose="00000500000000000000" pitchFamily="2" charset="0"/>
              <a:ea typeface="+mn-ea"/>
              <a:cs typeface="+mn-cs"/>
            </a:rPr>
            <a:t>ASC certified </a:t>
          </a:r>
          <a:r>
            <a:rPr lang="en-GB" sz="1100">
              <a:solidFill>
                <a:schemeClr val="dk1"/>
              </a:solidFill>
              <a:effectLst/>
              <a:latin typeface="Montserrat" panose="00000500000000000000" pitchFamily="2" charset="0"/>
              <a:ea typeface="+mn-ea"/>
              <a:cs typeface="+mn-cs"/>
            </a:rPr>
            <a:t>production per species. This is the volume of animals that have reached the grow out phase and are eligible for certification, and should also include the volume of animals transfered to this site during the year.</a:t>
          </a: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ASC certified harvested volume (tonnes)</a:t>
          </a:r>
          <a:r>
            <a:rPr lang="en-GB" sz="110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harvested volume of animals (live weight in metric tonnes, 1 tonne = 1000 kg) during the year for all ASC certified production per species. Stocked animals that are transferred from this site shall be included in the harvested volume, however the volume of mortalities shall not be included in the total.</a:t>
          </a:r>
        </a:p>
        <a:p>
          <a:endParaRPr lang="en-GB" sz="1100">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start yr (# of animals)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the standing</a:t>
          </a:r>
          <a:r>
            <a:rPr lang="en-US" sz="1100" baseline="0">
              <a:solidFill>
                <a:schemeClr val="dk1"/>
              </a:solidFill>
              <a:effectLst/>
              <a:latin typeface="Montserrat" panose="00000500000000000000" pitchFamily="2" charset="0"/>
              <a:ea typeface="+mn-ea"/>
              <a:cs typeface="+mn-cs"/>
            </a:rPr>
            <a:t> stock number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start'.</a:t>
          </a:r>
          <a:endParaRPr lang="en-NL">
            <a:effectLst/>
            <a:latin typeface="Montserrat" panose="00000500000000000000" pitchFamily="2" charset="0"/>
          </a:endParaRPr>
        </a:p>
        <a:p>
          <a:pPr eaLnBrk="1" fontAlgn="auto" latinLnBrk="0" hangingPunct="1"/>
          <a:endParaRPr lang="en-US" sz="1100" b="1">
            <a:solidFill>
              <a:schemeClr val="dk1"/>
            </a:solidFill>
            <a:effectLst/>
            <a:latin typeface="Montserrat" panose="00000500000000000000" pitchFamily="2" charset="0"/>
            <a:ea typeface="+mn-ea"/>
            <a:cs typeface="+mn-cs"/>
          </a:endParaRPr>
        </a:p>
        <a:p>
          <a:pPr eaLnBrk="1" fontAlgn="auto" latinLnBrk="0" hangingPunct="1"/>
          <a:r>
            <a:rPr lang="en-US" sz="1100" b="1">
              <a:solidFill>
                <a:schemeClr val="dk1"/>
              </a:solidFill>
              <a:effectLst/>
              <a:latin typeface="Montserrat" panose="00000500000000000000" pitchFamily="2" charset="0"/>
              <a:ea typeface="+mn-ea"/>
              <a:cs typeface="+mn-cs"/>
            </a:rPr>
            <a:t>Standing stock, end yr (# of animals)</a:t>
          </a:r>
          <a:r>
            <a:rPr lang="en-US" sz="1100" b="1" baseline="0">
              <a:solidFill>
                <a:schemeClr val="dk1"/>
              </a:solidFill>
              <a:effectLst/>
              <a:latin typeface="Montserrat" panose="00000500000000000000" pitchFamily="2" charset="0"/>
              <a:ea typeface="+mn-ea"/>
              <a:cs typeface="+mn-cs"/>
            </a:rPr>
            <a:t> </a:t>
          </a:r>
          <a:r>
            <a:rPr lang="en-US"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pPr eaLnBrk="1" fontAlgn="auto" latinLnBrk="0" hangingPunct="1"/>
          <a:r>
            <a:rPr lang="en-US" sz="1100">
              <a:solidFill>
                <a:schemeClr val="dk1"/>
              </a:solidFill>
              <a:effectLst/>
              <a:latin typeface="Montserrat" panose="00000500000000000000" pitchFamily="2" charset="0"/>
              <a:ea typeface="+mn-ea"/>
              <a:cs typeface="+mn-cs"/>
            </a:rPr>
            <a:t>Indicate standing</a:t>
          </a:r>
          <a:r>
            <a:rPr lang="en-US" sz="1100" baseline="0">
              <a:solidFill>
                <a:schemeClr val="dk1"/>
              </a:solidFill>
              <a:effectLst/>
              <a:latin typeface="Montserrat" panose="00000500000000000000" pitchFamily="2" charset="0"/>
              <a:ea typeface="+mn-ea"/>
              <a:cs typeface="+mn-cs"/>
            </a:rPr>
            <a:t> stock nzumber of animals </a:t>
          </a:r>
          <a:r>
            <a:rPr lang="en-US" sz="1100">
              <a:solidFill>
                <a:schemeClr val="dk1"/>
              </a:solidFill>
              <a:effectLst/>
              <a:latin typeface="Montserrat" panose="00000500000000000000" pitchFamily="2" charset="0"/>
              <a:ea typeface="+mn-ea"/>
              <a:cs typeface="+mn-cs"/>
            </a:rPr>
            <a:t>at the date indicated</a:t>
          </a:r>
          <a:r>
            <a:rPr lang="en-US" sz="1100" baseline="0">
              <a:solidFill>
                <a:schemeClr val="dk1"/>
              </a:solidFill>
              <a:effectLst/>
              <a:latin typeface="Montserrat" panose="00000500000000000000" pitchFamily="2" charset="0"/>
              <a:ea typeface="+mn-ea"/>
              <a:cs typeface="+mn-cs"/>
            </a:rPr>
            <a:t> at </a:t>
          </a:r>
          <a:r>
            <a:rPr lang="en-US" sz="1100" b="0" baseline="0">
              <a:solidFill>
                <a:schemeClr val="dk1"/>
              </a:solidFill>
              <a:effectLst/>
              <a:latin typeface="Montserrat" panose="00000500000000000000" pitchFamily="2" charset="0"/>
              <a:ea typeface="+mn-ea"/>
              <a:cs typeface="+mn-cs"/>
            </a:rPr>
            <a:t>'</a:t>
          </a:r>
          <a:r>
            <a:rPr lang="en-US" sz="1100" b="0">
              <a:solidFill>
                <a:schemeClr val="dk1"/>
              </a:solidFill>
              <a:effectLst/>
              <a:latin typeface="Montserrat" panose="00000500000000000000" pitchFamily="2" charset="0"/>
              <a:ea typeface="+mn-ea"/>
              <a:cs typeface="+mn-cs"/>
            </a:rPr>
            <a:t>Production cycle end'.</a:t>
          </a:r>
          <a:endParaRPr lang="en-NL">
            <a:effectLst/>
            <a:latin typeface="Montserrat" panose="00000500000000000000" pitchFamily="2" charset="0"/>
          </a:endParaRPr>
        </a:p>
        <a:p>
          <a:endParaRPr lang="en-GB" sz="1100">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Stocking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stocked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per species. This is the number of animals that have reached the grow out phase and are eligible for certification, and should also include the number of animals transfered to this site during the year.</a:t>
          </a: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Harvest count (# of animals)</a:t>
          </a:r>
          <a:r>
            <a:rPr lang="en-US"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Indicate </a:t>
          </a:r>
          <a:r>
            <a:rPr lang="en-GB" sz="1100">
              <a:solidFill>
                <a:schemeClr val="dk1"/>
              </a:solidFill>
              <a:effectLst/>
              <a:latin typeface="Montserrat" panose="00000500000000000000" pitchFamily="2" charset="0"/>
              <a:ea typeface="+mn-ea"/>
              <a:cs typeface="+mn-cs"/>
            </a:rPr>
            <a:t>the harvested number of animals for all ASC </a:t>
          </a:r>
          <a:r>
            <a:rPr lang="en-GB" sz="1100" i="1">
              <a:solidFill>
                <a:schemeClr val="dk1"/>
              </a:solidFill>
              <a:effectLst/>
              <a:latin typeface="Montserrat" panose="00000500000000000000" pitchFamily="2" charset="0"/>
              <a:ea typeface="+mn-ea"/>
              <a:cs typeface="+mn-cs"/>
            </a:rPr>
            <a:t>certified</a:t>
          </a:r>
          <a:r>
            <a:rPr lang="en-GB" sz="1100">
              <a:solidFill>
                <a:schemeClr val="dk1"/>
              </a:solidFill>
              <a:effectLst/>
              <a:latin typeface="Montserrat" panose="00000500000000000000" pitchFamily="2" charset="0"/>
              <a:ea typeface="+mn-ea"/>
              <a:cs typeface="+mn-cs"/>
            </a:rPr>
            <a:t> production. The harvest count shall not contain the number of mortalities in the total however stocked animals that are transferred from the site during production shall be included in the harvest count.</a:t>
          </a:r>
        </a:p>
        <a:p>
          <a:endParaRPr lang="en-GB"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Non-ASC certified harvested production volume </a:t>
          </a:r>
          <a:r>
            <a:rPr lang="en-GB" sz="1100" b="1" i="0">
              <a:solidFill>
                <a:schemeClr val="dk1"/>
              </a:solidFill>
              <a:effectLst/>
              <a:latin typeface="Montserrat" panose="00000500000000000000" pitchFamily="2" charset="0"/>
              <a:ea typeface="+mn-ea"/>
              <a:cs typeface="+mn-cs"/>
            </a:rPr>
            <a:t>(tonnes) </a:t>
          </a:r>
          <a:r>
            <a:rPr lang="en-US" sz="1100">
              <a:solidFill>
                <a:schemeClr val="dk1"/>
              </a:solidFill>
              <a:effectLst/>
              <a:latin typeface="Montserrat" panose="00000500000000000000" pitchFamily="2" charset="0"/>
              <a:ea typeface="+mn-ea"/>
              <a:cs typeface="+mn-cs"/>
            </a:rPr>
            <a:t>(Mandatory field)</a:t>
          </a:r>
          <a:endParaRPr lang="en-GB" sz="1100">
            <a:solidFill>
              <a:schemeClr val="dk1"/>
            </a:solidFill>
            <a:effectLst/>
            <a:latin typeface="Montserrat" panose="00000500000000000000" pitchFamily="2" charset="0"/>
            <a:ea typeface="+mn-ea"/>
            <a:cs typeface="+mn-cs"/>
          </a:endParaRPr>
        </a:p>
        <a:p>
          <a:pPr eaLnBrk="1" fontAlgn="auto" latinLnBrk="0" hangingPunct="1"/>
          <a:r>
            <a:rPr lang="en-GB" sz="1100" b="0" i="0">
              <a:solidFill>
                <a:schemeClr val="dk1"/>
              </a:solidFill>
              <a:effectLst/>
              <a:latin typeface="Montserrat" panose="00000500000000000000" pitchFamily="2" charset="0"/>
              <a:ea typeface="+mn-ea"/>
              <a:cs typeface="+mn-cs"/>
            </a:rPr>
            <a:t>Indicate</a:t>
          </a:r>
          <a:r>
            <a:rPr lang="en-GB" sz="1100" b="0" i="0" baseline="0">
              <a:solidFill>
                <a:schemeClr val="dk1"/>
              </a:solidFill>
              <a:effectLst/>
              <a:latin typeface="Montserrat" panose="00000500000000000000" pitchFamily="2" charset="0"/>
              <a:ea typeface="+mn-ea"/>
              <a:cs typeface="+mn-cs"/>
            </a:rPr>
            <a:t> for the non-certified harvested production volume </a:t>
          </a:r>
          <a:r>
            <a:rPr lang="en-GB" sz="1100">
              <a:solidFill>
                <a:schemeClr val="dk1"/>
              </a:solidFill>
              <a:effectLst/>
              <a:latin typeface="Montserrat" panose="00000500000000000000" pitchFamily="2" charset="0"/>
              <a:ea typeface="+mn-ea"/>
              <a:cs typeface="+mn-cs"/>
            </a:rPr>
            <a:t>animals (live weight in metric tonnes, 1 tonne = 1000 kg)</a:t>
          </a:r>
          <a:r>
            <a:rPr lang="en-GB" sz="1100" b="0" i="0" baseline="0">
              <a:solidFill>
                <a:schemeClr val="dk1"/>
              </a:solidFill>
              <a:effectLst/>
              <a:latin typeface="Montserrat" panose="00000500000000000000" pitchFamily="2" charset="0"/>
              <a:ea typeface="+mn-ea"/>
              <a:cs typeface="+mn-cs"/>
            </a:rPr>
            <a:t>. This could be production volume where ASC requirements were not met during the production or species that are not within the scope of the certificate. </a:t>
          </a:r>
        </a:p>
        <a:p>
          <a:pPr eaLnBrk="1" fontAlgn="auto" latinLnBrk="0" hangingPunct="1"/>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anose="00000500000000000000" pitchFamily="2" charset="0"/>
            </a:rPr>
            <a:t>ASC certified net production </a:t>
          </a:r>
          <a:r>
            <a:rPr lang="en-US" sz="1100" b="1">
              <a:solidFill>
                <a:schemeClr val="dk1"/>
              </a:solidFill>
              <a:effectLst/>
              <a:latin typeface="Montserrat" panose="00000500000000000000" pitchFamily="2" charset="0"/>
              <a:ea typeface="+mn-ea"/>
              <a:cs typeface="+mn-cs"/>
            </a:rPr>
            <a:t>volume </a:t>
          </a:r>
          <a:r>
            <a:rPr lang="en-GB" sz="1100" b="1" i="0">
              <a:solidFill>
                <a:schemeClr val="dk1"/>
              </a:solidFill>
              <a:effectLst/>
              <a:latin typeface="Montserrat" panose="00000500000000000000" pitchFamily="2" charset="0"/>
              <a:ea typeface="+mn-ea"/>
              <a:cs typeface="+mn-cs"/>
            </a:rPr>
            <a:t>(tonnes) </a:t>
          </a:r>
          <a:r>
            <a:rPr lang="en-GB" sz="1100">
              <a:solidFill>
                <a:schemeClr val="dk1"/>
              </a:solidFill>
              <a:effectLst/>
              <a:latin typeface="Montserrat" panose="00000500000000000000" pitchFamily="2" charset="0"/>
              <a:ea typeface="+mn-ea"/>
              <a:cs typeface="+mn-cs"/>
            </a:rPr>
            <a:t>(Calculated field)</a:t>
          </a:r>
          <a:endParaRPr lang="en-NL" sz="110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anose="00000500000000000000" pitchFamily="2" charset="0"/>
            </a:rPr>
            <a:t>The</a:t>
          </a:r>
          <a:r>
            <a:rPr lang="en-US" b="0" baseline="0">
              <a:effectLst/>
              <a:latin typeface="Montserrat" panose="00000500000000000000" pitchFamily="2" charset="0"/>
            </a:rPr>
            <a:t> net production volume is automatically calculated, based on </a:t>
          </a:r>
          <a:r>
            <a:rPr lang="en-US" sz="1100" b="0" baseline="0">
              <a:solidFill>
                <a:schemeClr val="dk1"/>
              </a:solidFill>
              <a:effectLst/>
              <a:latin typeface="Montserrat" panose="00000500000000000000" pitchFamily="2" charset="0"/>
              <a:ea typeface="+mn-ea"/>
              <a:cs typeface="+mn-cs"/>
            </a:rPr>
            <a:t>ASC certified </a:t>
          </a:r>
          <a:r>
            <a:rPr lang="en-US" b="0" baseline="0">
              <a:effectLst/>
              <a:latin typeface="Montserrat" panose="00000500000000000000" pitchFamily="2" charset="0"/>
            </a:rPr>
            <a:t>harvested, stocked and standing stock </a:t>
          </a:r>
          <a:r>
            <a:rPr lang="en-US" sz="1100" b="0" baseline="0">
              <a:solidFill>
                <a:schemeClr val="dk1"/>
              </a:solidFill>
              <a:effectLst/>
              <a:latin typeface="Montserrat" panose="00000500000000000000" pitchFamily="2" charset="0"/>
              <a:ea typeface="+mn-ea"/>
              <a:cs typeface="+mn-cs"/>
            </a:rPr>
            <a:t>and is calculated as follows:</a:t>
          </a:r>
          <a:endParaRPr lang="en-NL">
            <a:effectLst/>
            <a:latin typeface="Montserrat" panose="00000500000000000000" pitchFamily="2" charset="0"/>
          </a:endParaRPr>
        </a:p>
        <a:p>
          <a:pPr eaLnBrk="1" fontAlgn="auto" latinLnBrk="0" hangingPunct="1"/>
          <a:endParaRPr lang="en-NL">
            <a:effectLst/>
            <a:latin typeface="Montserrat" panose="00000500000000000000" pitchFamily="2" charset="0"/>
          </a:endParaRPr>
        </a:p>
        <a:p>
          <a:r>
            <a:rPr lang="en-US" sz="1100" b="0" i="1">
              <a:solidFill>
                <a:schemeClr val="dk1"/>
              </a:solidFill>
              <a:effectLst/>
              <a:latin typeface="Montserrat" panose="00000500000000000000" pitchFamily="2" charset="0"/>
              <a:ea typeface="+mn-ea"/>
              <a:cs typeface="+mn-cs"/>
            </a:rPr>
            <a:t>	ASC certified </a:t>
          </a:r>
          <a:r>
            <a:rPr lang="en-US" sz="1100" b="0" i="1" u="none" strike="noStrike">
              <a:solidFill>
                <a:schemeClr val="dk1"/>
              </a:solidFill>
              <a:effectLst/>
              <a:latin typeface="Montserrat" panose="00000500000000000000" pitchFamily="2" charset="0"/>
              <a:ea typeface="+mn-ea"/>
              <a:cs typeface="+mn-cs"/>
            </a:rPr>
            <a:t>net production volume (tonnes) = (standing stock</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baseline="-25000">
              <a:solidFill>
                <a:schemeClr val="dk1"/>
              </a:solidFill>
              <a:effectLst/>
              <a:latin typeface="Montserrat" panose="00000500000000000000" pitchFamily="2" charset="0"/>
              <a:ea typeface="+mn-ea"/>
              <a:cs typeface="+mn-cs"/>
            </a:rPr>
            <a:t>end of yr</a:t>
          </a:r>
          <a:r>
            <a:rPr lang="en-US" sz="1100" b="0" i="1" u="none" strike="noStrike" baseline="0">
              <a:solidFill>
                <a:schemeClr val="dk1"/>
              </a:solidFill>
              <a:effectLst/>
              <a:latin typeface="Montserrat" panose="00000500000000000000" pitchFamily="2" charset="0"/>
              <a:ea typeface="+mn-ea"/>
              <a:cs typeface="+mn-cs"/>
            </a:rPr>
            <a:t> </a:t>
          </a:r>
          <a:r>
            <a:rPr lang="en-US" sz="1100" b="0" i="1" u="none" strike="noStrike">
              <a:solidFill>
                <a:schemeClr val="dk1"/>
              </a:solidFill>
              <a:effectLst/>
              <a:latin typeface="Montserrat" panose="00000500000000000000" pitchFamily="2" charset="0"/>
              <a:ea typeface="+mn-ea"/>
              <a:cs typeface="+mn-cs"/>
            </a:rPr>
            <a:t>(tonnes) + harvested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 − (standing stock</a:t>
          </a:r>
          <a:r>
            <a:rPr lang="en-US" sz="1100" b="0" i="1" u="none" strike="noStrike" baseline="-25000">
              <a:solidFill>
                <a:schemeClr val="dk1"/>
              </a:solidFill>
              <a:effectLst/>
              <a:latin typeface="Montserrat" panose="00000500000000000000" pitchFamily="2" charset="0"/>
              <a:ea typeface="+mn-ea"/>
              <a:cs typeface="+mn-cs"/>
            </a:rPr>
            <a:t> start of yr </a:t>
          </a:r>
          <a:r>
            <a:rPr lang="en-US" sz="1100" b="0" i="1" u="none" strike="noStrike">
              <a:solidFill>
                <a:schemeClr val="dk1"/>
              </a:solidFill>
              <a:effectLst/>
              <a:latin typeface="Montserrat" panose="00000500000000000000" pitchFamily="2" charset="0"/>
              <a:ea typeface="+mn-ea"/>
              <a:cs typeface="+mn-cs"/>
            </a:rPr>
            <a:t>(tonnes) + stocked volume </a:t>
          </a:r>
          <a:r>
            <a:rPr lang="en-US" sz="1100" b="0" i="1" u="none" strike="noStrike" baseline="-25000">
              <a:solidFill>
                <a:schemeClr val="dk1"/>
              </a:solidFill>
              <a:effectLst/>
              <a:latin typeface="Montserrat" panose="00000500000000000000" pitchFamily="2" charset="0"/>
              <a:ea typeface="+mn-ea"/>
              <a:cs typeface="+mn-cs"/>
            </a:rPr>
            <a:t>during the yr </a:t>
          </a:r>
          <a:r>
            <a:rPr lang="en-US" sz="1100" b="0" i="1" u="none" strike="noStrike">
              <a:solidFill>
                <a:schemeClr val="dk1"/>
              </a:solidFill>
              <a:effectLst/>
              <a:latin typeface="Montserrat" panose="00000500000000000000" pitchFamily="2" charset="0"/>
              <a:ea typeface="+mn-ea"/>
              <a:cs typeface="+mn-cs"/>
            </a:rPr>
            <a:t>(tonnes))</a:t>
          </a:r>
        </a:p>
        <a:p>
          <a:endParaRPr lang="en-US" sz="1100" b="0" i="1" u="none" strike="noStrike">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NL" b="0">
            <a:effectLst/>
            <a:latin typeface="Montserrat" panose="00000500000000000000" pitchFamily="2" charset="0"/>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0</xdr:colOff>
      <xdr:row>1</xdr:row>
      <xdr:rowOff>214311</xdr:rowOff>
    </xdr:from>
    <xdr:to>
      <xdr:col>29</xdr:col>
      <xdr:colOff>1393</xdr:colOff>
      <xdr:row>57</xdr:row>
      <xdr:rowOff>202405</xdr:rowOff>
    </xdr:to>
    <mc:AlternateContent xmlns:mc="http://schemas.openxmlformats.org/markup-compatibility/2006">
      <mc:Choice xmlns:a14="http://schemas.microsoft.com/office/drawing/2010/main" Requires="a14">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14:m>
                <m:oMath xmlns:m="http://schemas.openxmlformats.org/officeDocument/2006/math">
                  <m:r>
                    <a:rPr lang="de-DE" sz="1100" b="0" i="1">
                      <a:solidFill>
                        <a:schemeClr val="dk1"/>
                      </a:solidFill>
                      <a:effectLst/>
                      <a:latin typeface="Cambria Math" panose="02040503050406030204" pitchFamily="18" charset="0"/>
                      <a:ea typeface="+mn-ea"/>
                      <a:cs typeface="+mn-cs"/>
                    </a:rPr>
                    <m:t> </m:t>
                  </m:r>
                  <m:r>
                    <m:rPr>
                      <m:nor/>
                    </m:rPr>
                    <a:rPr lang="en-US" sz="1100" b="0" i="1" baseline="0">
                      <a:solidFill>
                        <a:schemeClr val="dk1"/>
                      </a:solidFill>
                      <a:effectLst/>
                      <a:latin typeface="Montserrat" pitchFamily="2" charset="0"/>
                      <a:ea typeface="+mn-ea"/>
                      <a:cs typeface="+mn-cs"/>
                    </a:rPr>
                    <m:t>(# </m:t>
                  </m:r>
                  <m:r>
                    <m:rPr>
                      <m:nor/>
                    </m:rPr>
                    <a:rPr lang="en-US" sz="1100" b="0" i="1" baseline="0">
                      <a:solidFill>
                        <a:schemeClr val="dk1"/>
                      </a:solidFill>
                      <a:effectLst/>
                      <a:latin typeface="Montserrat" pitchFamily="2" charset="0"/>
                      <a:ea typeface="+mn-ea"/>
                      <a:cs typeface="+mn-cs"/>
                    </a:rPr>
                    <m:t>animals</m:t>
                  </m:r>
                  <m:r>
                    <m:rPr>
                      <m:nor/>
                    </m:rPr>
                    <a:rPr lang="en-US" sz="1100" b="0" i="1" baseline="0">
                      <a:solidFill>
                        <a:schemeClr val="dk1"/>
                      </a:solidFill>
                      <a:effectLst/>
                      <a:latin typeface="Montserrat" pitchFamily="2" charset="0"/>
                      <a:ea typeface="+mn-ea"/>
                      <a:cs typeface="+mn-cs"/>
                    </a:rPr>
                    <m:t>) </m:t>
                  </m:r>
                </m:oMath>
              </a14:m>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Choice>
      <mc:Fallback>
        <xdr:sp macro="" textlink="">
          <xdr:nvSpPr>
            <xdr:cNvPr id="3" name="TextBox 2">
              <a:extLst>
                <a:ext uri="{FF2B5EF4-FFF2-40B4-BE49-F238E27FC236}">
                  <a16:creationId xmlns:a16="http://schemas.microsoft.com/office/drawing/2014/main" id="{33EB08CB-9365-43A3-86B0-A76DFBA323A0}"/>
                </a:ext>
              </a:extLst>
            </xdr:cNvPr>
            <xdr:cNvSpPr txBox="1"/>
          </xdr:nvSpPr>
          <xdr:spPr>
            <a:xfrm>
              <a:off x="19764375" y="428624"/>
              <a:ext cx="7430893" cy="1204912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a:solidFill>
                    <a:schemeClr val="dk1"/>
                  </a:solidFill>
                  <a:effectLst/>
                  <a:latin typeface="Montserrat" panose="00000500000000000000" pitchFamily="2" charset="0"/>
                  <a:ea typeface="+mn-ea"/>
                  <a:cs typeface="+mn-cs"/>
                </a:rPr>
                <a:t>Report</a:t>
              </a:r>
              <a:r>
                <a:rPr lang="en-US" sz="1100" b="0" i="0" baseline="0">
                  <a:solidFill>
                    <a:schemeClr val="dk1"/>
                  </a:solidFill>
                  <a:effectLst/>
                  <a:latin typeface="Montserrat" panose="00000500000000000000" pitchFamily="2" charset="0"/>
                  <a:ea typeface="+mn-ea"/>
                  <a:cs typeface="+mn-cs"/>
                </a:rPr>
                <a:t> in</a:t>
              </a:r>
              <a:r>
                <a:rPr lang="en-US" sz="1100" b="0" i="0">
                  <a:solidFill>
                    <a:schemeClr val="dk1"/>
                  </a:solidFill>
                  <a:effectLst/>
                  <a:latin typeface="Montserrat" panose="00000500000000000000" pitchFamily="2" charset="0"/>
                  <a:ea typeface="+mn-ea"/>
                  <a:cs typeface="+mn-cs"/>
                </a:rPr>
                <a:t> table 1 the mortality count</a:t>
              </a:r>
              <a:r>
                <a:rPr lang="en-US" sz="1100" b="0" i="0" baseline="0">
                  <a:solidFill>
                    <a:schemeClr val="dk1"/>
                  </a:solidFill>
                  <a:effectLst/>
                  <a:latin typeface="Montserrat" panose="00000500000000000000" pitchFamily="2" charset="0"/>
                  <a:ea typeface="+mn-ea"/>
                  <a:cs typeface="+mn-cs"/>
                </a:rPr>
                <a:t> and cause that occured during the production of each produced species at the </a:t>
              </a:r>
              <a:r>
                <a:rPr lang="en-US" sz="1100" b="0" i="0">
                  <a:solidFill>
                    <a:schemeClr val="dk1"/>
                  </a:solidFill>
                  <a:effectLst/>
                  <a:latin typeface="Montserrat" panose="00000500000000000000" pitchFamily="2" charset="0"/>
                  <a:ea typeface="+mn-ea"/>
                  <a:cs typeface="+mn-cs"/>
                </a:rPr>
                <a:t>ASC</a:t>
              </a:r>
              <a:r>
                <a:rPr lang="en-US" sz="1100" b="0" i="0" baseline="0">
                  <a:solidFill>
                    <a:schemeClr val="dk1"/>
                  </a:solidFill>
                  <a:effectLst/>
                  <a:latin typeface="Montserrat" panose="00000500000000000000" pitchFamily="2" charset="0"/>
                  <a:ea typeface="+mn-ea"/>
                  <a:cs typeface="+mn-cs"/>
                </a:rPr>
                <a:t> </a:t>
              </a:r>
              <a:r>
                <a:rPr lang="en-US" sz="1100" b="0" i="1" baseline="0">
                  <a:solidFill>
                    <a:schemeClr val="dk1"/>
                  </a:solidFill>
                  <a:effectLst/>
                  <a:latin typeface="Montserrat" panose="00000500000000000000" pitchFamily="2" charset="0"/>
                  <a:ea typeface="+mn-ea"/>
                  <a:cs typeface="+mn-cs"/>
                </a:rPr>
                <a:t>certified</a:t>
              </a:r>
              <a:r>
                <a:rPr lang="en-US" sz="1100" b="0" i="0" baseline="0">
                  <a:solidFill>
                    <a:schemeClr val="dk1"/>
                  </a:solidFill>
                  <a:effectLst/>
                  <a:latin typeface="Montserrat" panose="00000500000000000000" pitchFamily="2" charset="0"/>
                  <a:ea typeface="+mn-ea"/>
                  <a:cs typeface="+mn-cs"/>
                </a:rPr>
                <a:t> or </a:t>
              </a:r>
              <a:r>
                <a:rPr lang="en-US" sz="1100" b="0" i="1" baseline="0">
                  <a:solidFill>
                    <a:schemeClr val="dk1"/>
                  </a:solidFill>
                  <a:effectLst/>
                  <a:latin typeface="Montserrat" panose="00000500000000000000" pitchFamily="2" charset="0"/>
                  <a:ea typeface="+mn-ea"/>
                  <a:cs typeface="+mn-cs"/>
                </a:rPr>
                <a:t>suspended</a:t>
              </a:r>
              <a:r>
                <a:rPr lang="en-US" sz="1100" b="0" i="0" baseline="0">
                  <a:solidFill>
                    <a:schemeClr val="dk1"/>
                  </a:solidFill>
                  <a:effectLst/>
                  <a:latin typeface="Montserrat" panose="00000500000000000000" pitchFamily="2" charset="0"/>
                  <a:ea typeface="+mn-ea"/>
                  <a:cs typeface="+mn-cs"/>
                </a:rPr>
                <a:t> farm site where harvest took place in the reporting year.</a:t>
              </a:r>
              <a:r>
                <a:rPr lang="en-GB" sz="1100" b="0" i="0" baseline="0">
                  <a:solidFill>
                    <a:schemeClr val="dk1"/>
                  </a:solidFill>
                  <a:effectLst/>
                  <a:latin typeface="Montserrat" panose="00000500000000000000" pitchFamily="2" charset="0"/>
                  <a:ea typeface="+mn-ea"/>
                  <a:cs typeface="+mn-cs"/>
                </a:rPr>
                <a:t> </a:t>
              </a:r>
              <a:r>
                <a:rPr lang="en-US" sz="1100" b="0" i="0">
                  <a:solidFill>
                    <a:schemeClr val="dk1"/>
                  </a:solidFill>
                  <a:effectLst/>
                  <a:latin typeface="Montserrat" panose="00000500000000000000" pitchFamily="2" charset="0"/>
                  <a:ea typeface="+mn-ea"/>
                  <a:cs typeface="+mn-cs"/>
                </a:rPr>
                <a:t>In case no mortalities were recorded, no reporting is required in table 1. </a:t>
              </a:r>
              <a:endParaRPr lang="en-US" sz="1100" b="0" i="0" baseline="0">
                <a:solidFill>
                  <a:schemeClr val="dk1"/>
                </a:solidFill>
                <a:effectLst/>
                <a:latin typeface="Montserrat" panose="00000500000000000000" pitchFamily="2" charset="0"/>
                <a:ea typeface="+mn-ea"/>
                <a:cs typeface="+mn-cs"/>
              </a:endParaRPr>
            </a:p>
            <a:p>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In table 2 the relevant production data is autopopulated from the 'Site and production details'</a:t>
              </a:r>
              <a:r>
                <a:rPr lang="en-US" sz="1100" b="0" i="0" baseline="0">
                  <a:solidFill>
                    <a:schemeClr val="dk1"/>
                  </a:solidFill>
                  <a:effectLst/>
                  <a:latin typeface="Montserrat" panose="00000500000000000000" pitchFamily="2" charset="0"/>
                  <a:ea typeface="+mn-ea"/>
                  <a:cs typeface="+mn-cs"/>
                </a:rPr>
                <a:t> tab and the mortality rate and real percentage mortality are automatically calculated per species per site based on mortality data from table 1. If no mortality is reported in Table 1, zero (0) will be automatically shown in table 2.</a:t>
              </a:r>
              <a:endParaRPr lang="en-GB">
                <a:effectLst/>
                <a:latin typeface="Montserrat" panose="00000500000000000000" pitchFamily="2" charset="0"/>
              </a:endParaRP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sng">
                  <a:solidFill>
                    <a:sysClr val="windowText" lastClr="000000"/>
                  </a:solidFill>
                  <a:effectLst/>
                  <a:latin typeface="Montserrat" panose="00000500000000000000" pitchFamily="2" charset="0"/>
                  <a:ea typeface="+mn-ea"/>
                  <a:cs typeface="+mn-cs"/>
                </a:rPr>
                <a:t>TABLE 1. Mortality reporting</a:t>
              </a: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Species in production (Latin name) (select) </a:t>
              </a:r>
              <a:r>
                <a:rPr lang="en-US" sz="1100" b="0" i="0" u="none">
                  <a:solidFill>
                    <a:sysClr val="windowText" lastClr="000000"/>
                  </a:solidFill>
                  <a:effectLst/>
                  <a:latin typeface="Montserrat" panose="00000500000000000000" pitchFamily="2" charset="0"/>
                  <a:ea typeface="+mn-ea"/>
                  <a:cs typeface="+mn-cs"/>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Select the species mortalities are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i="0" u="none">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u="none">
                  <a:solidFill>
                    <a:sysClr val="windowText" lastClr="000000"/>
                  </a:solidFill>
                  <a:effectLst/>
                  <a:latin typeface="Montserrat" panose="00000500000000000000" pitchFamily="2" charset="0"/>
                  <a:ea typeface="+mn-ea"/>
                  <a:cs typeface="+mn-cs"/>
                </a:rPr>
                <a:t>Cycle ID (select) </a:t>
              </a:r>
              <a:r>
                <a:rPr lang="en-US" sz="1100" b="0" i="0" u="none">
                  <a:solidFill>
                    <a:sysClr val="windowText" lastClr="000000"/>
                  </a:solidFill>
                  <a:effectLst/>
                  <a:latin typeface="Montserrat" panose="00000500000000000000" pitchFamily="2" charset="0"/>
                  <a:ea typeface="+mn-ea"/>
                  <a:cs typeface="+mn-cs"/>
                </a:rPr>
                <a:t>(Voluntary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u="none">
                  <a:solidFill>
                    <a:sysClr val="windowText" lastClr="000000"/>
                  </a:solidFill>
                  <a:effectLst/>
                  <a:latin typeface="Montserrat" panose="00000500000000000000" pitchFamily="2" charset="0"/>
                  <a:ea typeface="+mn-ea"/>
                  <a:cs typeface="+mn-cs"/>
                </a:rPr>
                <a:t>Please select the cycle ID for which mortalities are reported for.</a:t>
              </a:r>
              <a:r>
                <a:rPr lang="en-US" sz="1100" b="0" i="0" u="none" baseline="0">
                  <a:solidFill>
                    <a:sysClr val="windowText" lastClr="000000"/>
                  </a:solidFill>
                  <a:effectLst/>
                  <a:latin typeface="Montserrat" panose="00000500000000000000" pitchFamily="2" charset="0"/>
                  <a:ea typeface="+mn-ea"/>
                  <a:cs typeface="+mn-cs"/>
                </a:rPr>
                <a:t> </a:t>
              </a:r>
              <a:r>
                <a:rPr lang="en-US" sz="1100" b="0" i="0" u="none">
                  <a:solidFill>
                    <a:sysClr val="windowText" lastClr="000000"/>
                  </a:solidFill>
                  <a:effectLst/>
                  <a:latin typeface="Montserrat" panose="00000500000000000000" pitchFamily="2" charset="0"/>
                  <a:ea typeface="+mn-ea"/>
                  <a:cs typeface="+mn-cs"/>
                </a:rPr>
                <a:t>The selection option is based on the cycl</a:t>
              </a:r>
              <a:r>
                <a:rPr lang="en-US" sz="1100" b="0" i="0" u="none" baseline="0">
                  <a:solidFill>
                    <a:sysClr val="windowText" lastClr="000000"/>
                  </a:solidFill>
                  <a:effectLst/>
                  <a:latin typeface="Montserrat" panose="00000500000000000000" pitchFamily="2" charset="0"/>
                  <a:ea typeface="+mn-ea"/>
                  <a:cs typeface="+mn-cs"/>
                </a:rPr>
                <a:t>e IDs </a:t>
              </a:r>
              <a:r>
                <a:rPr lang="en-US" sz="1100" b="0" i="0" u="none">
                  <a:solidFill>
                    <a:sysClr val="windowText" lastClr="000000"/>
                  </a:solidFill>
                  <a:effectLst/>
                  <a:latin typeface="Montserrat" panose="00000500000000000000" pitchFamily="2" charset="0"/>
                  <a:ea typeface="+mn-ea"/>
                  <a:cs typeface="+mn-cs"/>
                </a:rPr>
                <a:t>provided in the 'Site and production details' tab.</a:t>
              </a:r>
            </a:p>
            <a:p>
              <a:endParaRPr lang="en-GB">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nl-NL" sz="1100" b="1">
                  <a:solidFill>
                    <a:sysClr val="windowText" lastClr="000000"/>
                  </a:solidFill>
                  <a:effectLst/>
                  <a:latin typeface="Montserrat" panose="00000500000000000000" pitchFamily="2" charset="0"/>
                  <a:ea typeface="+mn-ea"/>
                  <a:cs typeface="+mn-cs"/>
                </a:rPr>
                <a:t>Mortality</a:t>
              </a:r>
              <a:r>
                <a:rPr lang="nl-NL" sz="1100" b="1" baseline="0">
                  <a:solidFill>
                    <a:sysClr val="windowText" lastClr="000000"/>
                  </a:solidFill>
                  <a:effectLst/>
                  <a:latin typeface="Montserrat" panose="00000500000000000000" pitchFamily="2" charset="0"/>
                  <a:ea typeface="+mn-ea"/>
                  <a:cs typeface="+mn-cs"/>
                </a:rPr>
                <a:t> count (# animals) </a:t>
              </a:r>
              <a:r>
                <a:rPr lang="en-US" sz="1100" b="0" i="0" baseline="0">
                  <a:solidFill>
                    <a:schemeClr val="dk1"/>
                  </a:solidFill>
                  <a:effectLst/>
                  <a:latin typeface="Montserrat" panose="00000500000000000000" pitchFamily="2" charset="0"/>
                  <a:ea typeface="+mn-ea"/>
                  <a:cs typeface="+mn-cs"/>
                </a:rPr>
                <a:t>(Mandatory field)</a:t>
              </a:r>
              <a:endParaRPr lang="nl-NL" sz="1100" b="1" baseline="0">
                <a:solidFill>
                  <a:sysClr val="windowText" lastClr="000000"/>
                </a:solidFill>
                <a:effectLst/>
                <a:latin typeface="Montserrat" panose="00000500000000000000" pitchFamily="2" charset="0"/>
                <a:ea typeface="+mn-ea"/>
                <a:cs typeface="+mn-cs"/>
              </a:endParaRPr>
            </a:p>
            <a:p>
              <a:pPr eaLnBrk="1" fontAlgn="auto" latinLnBrk="0" hangingPunct="1"/>
              <a:r>
                <a:rPr lang="nl-NL" sz="1100" b="0" baseline="0">
                  <a:solidFill>
                    <a:schemeClr val="dk1"/>
                  </a:solidFill>
                  <a:effectLst/>
                  <a:latin typeface="Montserrat" panose="00000500000000000000" pitchFamily="2" charset="0"/>
                  <a:ea typeface="+mn-ea"/>
                  <a:cs typeface="+mn-cs"/>
                </a:rPr>
                <a:t>Indicate the number of dead animals per mortality cause. </a:t>
              </a:r>
            </a:p>
            <a:p>
              <a:pPr eaLnBrk="1" fontAlgn="auto" latinLnBrk="0" hangingPunct="1"/>
              <a:endParaRPr lang="en-US" sz="1100">
                <a:solidFill>
                  <a:schemeClr val="bg1">
                    <a:lumMod val="65000"/>
                  </a:schemeClr>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ysClr val="windowText" lastClr="000000"/>
                  </a:solidFill>
                  <a:latin typeface="Montserrat" panose="00000500000000000000" pitchFamily="2" charset="0"/>
                </a:rPr>
                <a:t>Mortality cause (select) </a:t>
              </a:r>
              <a:r>
                <a:rPr lang="en-US" sz="1100" b="0" i="0" baseline="0">
                  <a:solidFill>
                    <a:schemeClr val="dk1"/>
                  </a:solidFill>
                  <a:effectLst/>
                  <a:latin typeface="Montserrat" panose="00000500000000000000" pitchFamily="2" charset="0"/>
                  <a:ea typeface="+mn-ea"/>
                  <a:cs typeface="+mn-cs"/>
                </a:rPr>
                <a:t>(Mandatory field)</a:t>
              </a:r>
              <a:endParaRPr lang="en-US" sz="1100" b="1">
                <a:solidFill>
                  <a:sysClr val="windowText" lastClr="000000"/>
                </a:solidFill>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ysClr val="windowText" lastClr="000000"/>
                  </a:solidFill>
                  <a:latin typeface="Montserrat" panose="00000500000000000000" pitchFamily="2" charset="0"/>
                </a:rPr>
                <a:t>Select</a:t>
              </a:r>
              <a:r>
                <a:rPr lang="en-US" sz="1100" baseline="0">
                  <a:solidFill>
                    <a:sysClr val="windowText" lastClr="000000"/>
                  </a:solidFill>
                  <a:latin typeface="Montserrat" panose="00000500000000000000" pitchFamily="2" charset="0"/>
                </a:rPr>
                <a:t> the cause of mortality using the dropdown menu. </a:t>
              </a:r>
              <a:r>
                <a:rPr lang="en-US" sz="1100" b="0">
                  <a:solidFill>
                    <a:sysClr val="windowText" lastClr="000000"/>
                  </a:solidFill>
                  <a:effectLst/>
                  <a:latin typeface="Montserrat" panose="00000500000000000000" pitchFamily="2" charset="0"/>
                  <a:ea typeface="+mn-ea"/>
                  <a:cs typeface="+mn-cs"/>
                </a:rPr>
                <a:t>In case the cause of mortality is not</a:t>
              </a:r>
              <a:r>
                <a:rPr lang="en-US" sz="1100" b="0" baseline="0">
                  <a:solidFill>
                    <a:sysClr val="windowText" lastClr="000000"/>
                  </a:solidFill>
                  <a:effectLst/>
                  <a:latin typeface="Montserrat" panose="00000500000000000000" pitchFamily="2" charset="0"/>
                  <a:ea typeface="+mn-ea"/>
                  <a:cs typeface="+mn-cs"/>
                </a:rPr>
                <a:t> one of the options provided, please type out the cause of the incident here as concise as possible. Culled (killed) fish needs to be included  and the reason for culling specified in the notes section.</a:t>
              </a:r>
            </a:p>
            <a:p>
              <a:endParaRPr lang="en-US">
                <a:solidFill>
                  <a:sysClr val="windowText" lastClr="000000"/>
                </a:solidFil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Notes </a:t>
              </a:r>
              <a:r>
                <a:rPr lang="en-US" sz="1100" b="0" i="0">
                  <a:solidFill>
                    <a:schemeClr val="dk1"/>
                  </a:solidFill>
                  <a:effectLst/>
                  <a:latin typeface="Montserrat" panose="00000500000000000000" pitchFamily="2" charset="0"/>
                  <a:ea typeface="+mn-ea"/>
                  <a:cs typeface="+mn-cs"/>
                </a:rPr>
                <a:t>(Voluntary field)</a:t>
              </a:r>
              <a:endParaRPr lang="en-GB" b="0">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This field may be used to provide any other relevant information or clarifications.</a:t>
              </a:r>
              <a:endParaRPr lang="en-GB">
                <a:effectLst/>
                <a:latin typeface="Montserrat" panose="00000500000000000000" pitchFamily="2" charset="0"/>
              </a:endParaRPr>
            </a:p>
            <a:p>
              <a:pPr eaLnBrk="1" fontAlgn="auto" latinLnBrk="0" hangingPunct="1"/>
              <a:endParaRPr lang="en-US" sz="1100" b="0" i="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sng">
                  <a:solidFill>
                    <a:sysClr val="windowText" lastClr="000000"/>
                  </a:solidFill>
                  <a:effectLst/>
                  <a:latin typeface="Montserrat" panose="00000500000000000000" pitchFamily="2" charset="0"/>
                  <a:ea typeface="+mn-ea"/>
                  <a:cs typeface="+mn-cs"/>
                </a:rPr>
                <a:t>TABLE 2. Mortality rate per species</a:t>
              </a:r>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Species in production (latin name)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species in production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Stocking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stocking count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Harvest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harvest count is autopopulated from </a:t>
              </a:r>
              <a:r>
                <a:rPr lang="en-US" sz="1100" b="0" i="0" baseline="0">
                  <a:solidFill>
                    <a:schemeClr val="dk1"/>
                  </a:solidFill>
                  <a:effectLst/>
                  <a:latin typeface="Montserrat" pitchFamily="2" charset="0"/>
                  <a:ea typeface="+mn-ea"/>
                  <a:cs typeface="+mn-cs"/>
                </a:rPr>
                <a:t>the 'Site and production details' tab.</a:t>
              </a:r>
              <a:endParaRPr lang="en-GB">
                <a:effectLst/>
                <a:latin typeface="Montserrat" pitchFamily="2" charset="0"/>
              </a:endParaRP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start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start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ASC certified standing stock, end yr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ASC certified standing stock at the end of the year is autopopulated from the 'Site and production details' tab.</a:t>
              </a:r>
            </a:p>
            <a:p>
              <a:pPr eaLnBrk="1" fontAlgn="auto" latinLnBrk="0" hangingPunct="1"/>
              <a:endParaRPr lang="en-US" sz="1100" b="1" i="0" u="none" baseline="0">
                <a:solidFill>
                  <a:sysClr val="windowText" lastClr="000000"/>
                </a:solidFill>
                <a:effectLst/>
                <a:latin typeface="Montserrat" panose="00000500000000000000" pitchFamily="2" charset="0"/>
                <a:ea typeface="+mn-ea"/>
                <a:cs typeface="+mn-cs"/>
              </a:endParaRPr>
            </a:p>
            <a:p>
              <a:pPr eaLnBrk="1" fontAlgn="auto" latinLnBrk="0" hangingPunct="1"/>
              <a:r>
                <a:rPr lang="en-US" sz="1100" b="1" i="0" u="none" baseline="0">
                  <a:solidFill>
                    <a:sysClr val="windowText" lastClr="000000"/>
                  </a:solidFill>
                  <a:effectLst/>
                  <a:latin typeface="Montserrat" panose="00000500000000000000" pitchFamily="2" charset="0"/>
                  <a:ea typeface="+mn-ea"/>
                  <a:cs typeface="+mn-cs"/>
                </a:rPr>
                <a:t>Mortality count (# animals) </a:t>
              </a:r>
              <a:r>
                <a:rPr lang="en-US" sz="1100" b="0" i="0" u="none" baseline="0">
                  <a:solidFill>
                    <a:sysClr val="windowText" lastClr="000000"/>
                  </a:solidFill>
                  <a:effectLst/>
                  <a:latin typeface="Montserrat" panose="00000500000000000000" pitchFamily="2" charset="0"/>
                  <a:ea typeface="+mn-ea"/>
                  <a:cs typeface="+mn-cs"/>
                </a:rPr>
                <a:t>(Autopopulated field)</a:t>
              </a:r>
            </a:p>
            <a:p>
              <a:pPr eaLnBrk="1" fontAlgn="auto" latinLnBrk="0" hangingPunct="1"/>
              <a:r>
                <a:rPr lang="en-US" sz="1100" b="0" i="0" u="none" baseline="0">
                  <a:solidFill>
                    <a:sysClr val="windowText" lastClr="000000"/>
                  </a:solidFill>
                  <a:effectLst/>
                  <a:latin typeface="Montserrat" panose="00000500000000000000" pitchFamily="2" charset="0"/>
                  <a:ea typeface="+mn-ea"/>
                  <a:cs typeface="+mn-cs"/>
                </a:rPr>
                <a:t>The mortality count is calculated from the </a:t>
              </a:r>
              <a:r>
                <a:rPr lang="de-DE" sz="1100" b="0" i="0" u="none" baseline="0">
                  <a:solidFill>
                    <a:sysClr val="windowText" lastClr="000000"/>
                  </a:solidFill>
                  <a:effectLst/>
                  <a:latin typeface="Montserrat" panose="00000500000000000000" pitchFamily="2" charset="0"/>
                  <a:ea typeface="+mn-ea"/>
                  <a:cs typeface="+mn-cs"/>
                </a:rPr>
                <a:t>mortality reporting in table 1.</a:t>
              </a:r>
              <a:endParaRPr lang="en-GB" sz="1100" b="1" i="0" u="none" strike="noStrike">
                <a:solidFill>
                  <a:schemeClr val="dk1"/>
                </a:solidFill>
                <a:effectLst/>
                <a:latin typeface="Montserrat" panose="00000500000000000000" pitchFamily="2" charset="0"/>
                <a:ea typeface="+mn-ea"/>
                <a:cs typeface="+mn-cs"/>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a:solidFill>
                    <a:schemeClr val="dk1"/>
                  </a:solidFill>
                  <a:effectLst/>
                  <a:latin typeface="Montserrat" panose="00000500000000000000" pitchFamily="2" charset="0"/>
                  <a:ea typeface="+mn-ea"/>
                  <a:cs typeface="+mn-cs"/>
                </a:rPr>
                <a:t>Mortality rate (%)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m</a:t>
              </a:r>
              <a:r>
                <a:rPr lang="en-US" sz="1100" b="0" i="0">
                  <a:solidFill>
                    <a:schemeClr val="dk1"/>
                  </a:solidFill>
                  <a:effectLst/>
                  <a:latin typeface="Montserrat" panose="00000500000000000000" pitchFamily="2" charset="0"/>
                  <a:ea typeface="+mn-ea"/>
                  <a:cs typeface="+mn-cs"/>
                </a:rPr>
                <a:t>ortality rate</a:t>
              </a:r>
              <a:r>
                <a:rPr lang="en-US" sz="1100" b="0" i="0" baseline="0">
                  <a:solidFill>
                    <a:schemeClr val="dk1"/>
                  </a:solidFill>
                  <a:effectLst/>
                  <a:latin typeface="Montserrat" panose="00000500000000000000" pitchFamily="2" charset="0"/>
                  <a:ea typeface="+mn-ea"/>
                  <a:cs typeface="+mn-cs"/>
                </a:rPr>
                <a:t> is</a:t>
              </a:r>
              <a:r>
                <a:rPr lang="en-US" sz="1100" b="0" i="0">
                  <a:solidFill>
                    <a:schemeClr val="dk1"/>
                  </a:solidFill>
                  <a:effectLst/>
                  <a:latin typeface="Montserrat" panose="00000500000000000000" pitchFamily="2" charset="0"/>
                  <a:ea typeface="+mn-ea"/>
                  <a:cs typeface="+mn-cs"/>
                </a:rPr>
                <a:t> automatically calculated</a:t>
              </a:r>
              <a:r>
                <a:rPr lang="en-US" sz="1100" b="0" i="0" baseline="0">
                  <a:solidFill>
                    <a:schemeClr val="dk1"/>
                  </a:solidFill>
                  <a:effectLst/>
                  <a:latin typeface="Montserrat" panose="00000500000000000000" pitchFamily="2" charset="0"/>
                  <a:ea typeface="+mn-ea"/>
                  <a:cs typeface="+mn-cs"/>
                </a:rPr>
                <a:t> as the (observed) mortality count as percentage of the stocking count and standing stock at the begenning of the year as follows:</a:t>
              </a:r>
            </a:p>
            <a:p>
              <a:pPr eaLnBrk="1" fontAlgn="auto" latinLnBrk="0" hangingPunct="1"/>
              <a:endParaRPr lang="en-GB" i="1">
                <a:effectLst/>
                <a:latin typeface="Montserrat" panose="00000500000000000000" pitchFamily="2" charset="0"/>
              </a:endParaRPr>
            </a:p>
            <a:p>
              <a:pPr eaLnBrk="1" fontAlgn="auto" latinLnBrk="0" hangingPunct="1"/>
              <a:r>
                <a:rPr lang="en-US" sz="1100" b="0" i="1" baseline="0">
                  <a:solidFill>
                    <a:schemeClr val="dk1"/>
                  </a:solidFill>
                  <a:effectLst/>
                  <a:latin typeface="Montserrat" panose="00000500000000000000" pitchFamily="2" charset="0"/>
                  <a:ea typeface="+mn-ea"/>
                  <a:cs typeface="+mn-cs"/>
                </a:rPr>
                <a:t>	mortality rate (%) = (mortality count (# animals) / (standing stock</a:t>
              </a:r>
              <a:r>
                <a:rPr lang="en-US" sz="1100" b="0" i="1" baseline="-25000">
                  <a:solidFill>
                    <a:schemeClr val="dk1"/>
                  </a:solidFill>
                  <a:effectLst/>
                  <a:latin typeface="Montserrat" panose="00000500000000000000" pitchFamily="2" charset="0"/>
                  <a:ea typeface="+mn-ea"/>
                  <a:cs typeface="+mn-cs"/>
                </a:rPr>
                <a:t>start of yr </a:t>
              </a:r>
              <a:r>
                <a:rPr lang="de-DE" sz="1100" b="0" i="0">
                  <a:solidFill>
                    <a:schemeClr val="dk1"/>
                  </a:solidFill>
                  <a:effectLst/>
                  <a:latin typeface="Cambria Math" panose="02040503050406030204" pitchFamily="18" charset="0"/>
                  <a:ea typeface="+mn-ea"/>
                  <a:cs typeface="+mn-cs"/>
                </a:rPr>
                <a:t> </a:t>
              </a:r>
              <a:r>
                <a:rPr lang="en-US" sz="1100" b="0" i="0" baseline="0">
                  <a:solidFill>
                    <a:schemeClr val="dk1"/>
                  </a:solidFill>
                  <a:effectLst/>
                  <a:latin typeface="Cambria Math" panose="02040503050406030204" pitchFamily="18" charset="0"/>
                  <a:ea typeface="+mn-ea"/>
                  <a:cs typeface="+mn-cs"/>
                </a:rPr>
                <a:t>"(# animals) </a:t>
              </a:r>
              <a:r>
                <a:rPr lang="en-NL" sz="1100" b="0" i="0" baseline="0">
                  <a:solidFill>
                    <a:schemeClr val="dk1"/>
                  </a:solidFill>
                  <a:effectLst/>
                  <a:latin typeface="Montserrat" pitchFamily="2" charset="0"/>
                  <a:ea typeface="+mn-ea"/>
                  <a:cs typeface="+mn-cs"/>
                </a:rPr>
                <a:t>"</a:t>
              </a:r>
              <a:r>
                <a:rPr lang="en-US" sz="1100" b="0" i="1" baseline="0">
                  <a:solidFill>
                    <a:schemeClr val="dk1"/>
                  </a:solidFill>
                  <a:effectLst/>
                  <a:latin typeface="Montserrat" panose="00000500000000000000" pitchFamily="2" charset="0"/>
                  <a:ea typeface="+mn-ea"/>
                  <a:cs typeface="+mn-cs"/>
                </a:rPr>
                <a:t>+ stocking count (# animals))) * 100</a:t>
              </a:r>
              <a:endParaRPr lang="en-GB" i="1">
                <a:effectLst/>
                <a:latin typeface="Montserrat" panose="00000500000000000000" pitchFamily="2" charset="0"/>
              </a:endParaRPr>
            </a:p>
            <a:p>
              <a:pPr eaLnBrk="1" fontAlgn="auto" latinLnBrk="0" hangingPunct="1"/>
              <a:endParaRPr lang="en-GB" sz="1100" b="1" i="0" u="none" strike="noStrike">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i="0" u="none" strike="noStrike">
                  <a:solidFill>
                    <a:schemeClr val="dk1"/>
                  </a:solidFill>
                  <a:effectLst/>
                  <a:latin typeface="Montserrat" panose="00000500000000000000" pitchFamily="2" charset="0"/>
                  <a:ea typeface="+mn-ea"/>
                  <a:cs typeface="+mn-cs"/>
                </a:rPr>
                <a:t>Real percentage' mortality (%)</a:t>
              </a:r>
              <a:r>
                <a:rPr lang="en-GB">
                  <a:latin typeface="Montserrat" panose="00000500000000000000" pitchFamily="2" charset="0"/>
                </a:rPr>
                <a:t> </a:t>
              </a:r>
              <a:r>
                <a:rPr lang="en-GB" sz="1100">
                  <a:solidFill>
                    <a:schemeClr val="dk1"/>
                  </a:solidFill>
                  <a:effectLst/>
                  <a:latin typeface="Montserrat" panose="00000500000000000000" pitchFamily="2" charset="0"/>
                  <a:ea typeface="+mn-ea"/>
                  <a:cs typeface="+mn-cs"/>
                </a:rPr>
                <a:t>(Calculated field)</a:t>
              </a:r>
              <a:endParaRPr lang="en-GB">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a:latin typeface="Montserrat" panose="00000500000000000000" pitchFamily="2" charset="0"/>
                </a:rPr>
                <a:t>The real percentage mortality is automatically calculated as the difference between </a:t>
              </a:r>
              <a:r>
                <a:rPr lang="en-US" sz="1100" b="0" i="0" baseline="0">
                  <a:solidFill>
                    <a:schemeClr val="dk1"/>
                  </a:solidFill>
                  <a:effectLst/>
                  <a:latin typeface="Montserrat" panose="00000500000000000000" pitchFamily="2" charset="0"/>
                  <a:ea typeface="+mn-ea"/>
                  <a:cs typeface="+mn-cs"/>
                </a:rPr>
                <a:t>stocking count and standing stock at the beginning of the year</a:t>
              </a:r>
              <a:r>
                <a:rPr lang="en-GB">
                  <a:latin typeface="Montserrat" panose="00000500000000000000" pitchFamily="2" charset="0"/>
                </a:rPr>
                <a:t> and the</a:t>
              </a:r>
              <a:r>
                <a:rPr lang="en-GB" baseline="0">
                  <a:latin typeface="Montserrat" panose="00000500000000000000" pitchFamily="2" charset="0"/>
                </a:rPr>
                <a:t> harvest count </a:t>
              </a:r>
              <a:r>
                <a:rPr lang="en-GB">
                  <a:latin typeface="Montserrat" panose="00000500000000000000" pitchFamily="2" charset="0"/>
                </a:rPr>
                <a:t>and standing stock at the end of the year divided by the </a:t>
              </a:r>
              <a:r>
                <a:rPr lang="en-US" sz="1100" b="0" i="0" baseline="0">
                  <a:solidFill>
                    <a:schemeClr val="dk1"/>
                  </a:solidFill>
                  <a:effectLst/>
                  <a:latin typeface="Montserrat" panose="00000500000000000000" pitchFamily="2" charset="0"/>
                  <a:ea typeface="+mn-ea"/>
                  <a:cs typeface="+mn-cs"/>
                </a:rPr>
                <a:t>stocking count and standing stock at the begenning of the year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1"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solidFill>
                    <a:schemeClr val="dk1"/>
                  </a:solidFill>
                  <a:effectLst/>
                  <a:latin typeface="Montserrat" panose="00000500000000000000" pitchFamily="2" charset="0"/>
                  <a:ea typeface="+mn-ea"/>
                  <a:cs typeface="+mn-cs"/>
                </a:rPr>
                <a:t>	real percentage mortality (%) = (((</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 </a:t>
              </a:r>
              <a:r>
                <a:rPr lang="en-GB" sz="1100" b="0" i="1">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end of yr </a:t>
              </a:r>
              <a:r>
                <a:rPr lang="en-US" sz="1100" b="0" i="1" baseline="0">
                  <a:solidFill>
                    <a:schemeClr val="dk1"/>
                  </a:solidFill>
                  <a:effectLst/>
                  <a:latin typeface="Montserrat" panose="00000500000000000000" pitchFamily="2" charset="0"/>
                  <a:ea typeface="+mn-ea"/>
                  <a:cs typeface="+mn-cs"/>
                </a:rPr>
                <a:t>(# animals) -</a:t>
              </a:r>
              <a:r>
                <a:rPr lang="en-GB" sz="1100" b="0" i="1">
                  <a:solidFill>
                    <a:schemeClr val="dk1"/>
                  </a:solidFill>
                  <a:effectLst/>
                  <a:latin typeface="Montserrat" panose="00000500000000000000" pitchFamily="2" charset="0"/>
                  <a:ea typeface="+mn-ea"/>
                  <a:cs typeface="+mn-cs"/>
                </a:rPr>
                <a:t> harvest</a:t>
              </a:r>
              <a:r>
                <a:rPr lang="en-GB" sz="1100" b="0" i="1" baseline="0">
                  <a:solidFill>
                    <a:schemeClr val="dk1"/>
                  </a:solidFill>
                  <a:effectLst/>
                  <a:latin typeface="Montserrat" panose="00000500000000000000" pitchFamily="2" charset="0"/>
                  <a:ea typeface="+mn-ea"/>
                  <a:cs typeface="+mn-cs"/>
                </a:rPr>
                <a:t> count (# animals)) / </a:t>
              </a:r>
              <a:r>
                <a:rPr lang="en-US" sz="1100" b="0" i="1" baseline="0">
                  <a:solidFill>
                    <a:schemeClr val="dk1"/>
                  </a:solidFill>
                  <a:effectLst/>
                  <a:latin typeface="Montserrat" panose="00000500000000000000" pitchFamily="2" charset="0"/>
                  <a:ea typeface="+mn-ea"/>
                  <a:cs typeface="+mn-cs"/>
                </a:rPr>
                <a:t>(</a:t>
              </a:r>
              <a:r>
                <a:rPr lang="en-GB" sz="1100" b="0" i="1" baseline="0">
                  <a:solidFill>
                    <a:schemeClr val="dk1"/>
                  </a:solidFill>
                  <a:effectLst/>
                  <a:latin typeface="Montserrat" panose="00000500000000000000" pitchFamily="2" charset="0"/>
                  <a:ea typeface="+mn-ea"/>
                  <a:cs typeface="+mn-cs"/>
                </a:rPr>
                <a:t>standing stock </a:t>
              </a:r>
              <a:r>
                <a:rPr lang="en-GB" sz="1100" b="0" i="1" baseline="-25000">
                  <a:solidFill>
                    <a:schemeClr val="dk1"/>
                  </a:solidFill>
                  <a:effectLst/>
                  <a:latin typeface="Montserrat" panose="00000500000000000000" pitchFamily="2" charset="0"/>
                  <a:ea typeface="+mn-ea"/>
                  <a:cs typeface="+mn-cs"/>
                </a:rPr>
                <a:t>start of yr </a:t>
              </a:r>
              <a:r>
                <a:rPr lang="en-US" sz="1100" b="0" i="1" baseline="0">
                  <a:solidFill>
                    <a:schemeClr val="dk1"/>
                  </a:solidFill>
                  <a:effectLst/>
                  <a:latin typeface="Montserrat" panose="00000500000000000000" pitchFamily="2" charset="0"/>
                  <a:ea typeface="+mn-ea"/>
                  <a:cs typeface="+mn-cs"/>
                </a:rPr>
                <a:t>(# animals) +</a:t>
              </a:r>
              <a:r>
                <a:rPr lang="en-GB" sz="1100" b="0" i="1" baseline="0">
                  <a:solidFill>
                    <a:schemeClr val="dk1"/>
                  </a:solidFill>
                  <a:effectLst/>
                  <a:latin typeface="Montserrat" panose="00000500000000000000" pitchFamily="2" charset="0"/>
                  <a:ea typeface="+mn-ea"/>
                  <a:cs typeface="+mn-cs"/>
                </a:rPr>
                <a:t> stocking count (# animals))) * 100</a:t>
              </a:r>
              <a:endParaRPr lang="en-US" sz="1100" b="0" i="1" baseline="0">
                <a:solidFill>
                  <a:schemeClr val="dk1"/>
                </a:solidFill>
                <a:effectLst/>
                <a:latin typeface="Montserrat" panose="00000500000000000000" pitchFamily="2" charset="0"/>
                <a:ea typeface="+mn-ea"/>
                <a:cs typeface="+mn-cs"/>
              </a:endParaRPr>
            </a:p>
          </xdr:txBody>
        </xdr:sp>
      </mc:Fallback>
    </mc:AlternateContent>
    <xdr:clientData/>
  </xdr:twoCellAnchor>
</xdr:wsDr>
</file>

<file path=xl/drawings/drawing11.xml><?xml version="1.0" encoding="utf-8"?>
<xdr:wsDr xmlns:xdr="http://schemas.openxmlformats.org/drawingml/2006/spreadsheetDrawing" xmlns:a="http://schemas.openxmlformats.org/drawingml/2006/main">
  <xdr:twoCellAnchor>
    <xdr:from>
      <xdr:col>18</xdr:col>
      <xdr:colOff>0</xdr:colOff>
      <xdr:row>1</xdr:row>
      <xdr:rowOff>214311</xdr:rowOff>
    </xdr:from>
    <xdr:to>
      <xdr:col>30</xdr:col>
      <xdr:colOff>10455</xdr:colOff>
      <xdr:row>57</xdr:row>
      <xdr:rowOff>214311</xdr:rowOff>
    </xdr:to>
    <xdr:sp macro="" textlink="">
      <xdr:nvSpPr>
        <xdr:cNvPr id="3" name="TextBox 2">
          <a:extLst>
            <a:ext uri="{FF2B5EF4-FFF2-40B4-BE49-F238E27FC236}">
              <a16:creationId xmlns:a16="http://schemas.microsoft.com/office/drawing/2014/main" id="{13A96E7F-4BAA-475F-91D2-4CF3D31565CB}"/>
            </a:ext>
          </a:extLst>
        </xdr:cNvPr>
        <xdr:cNvSpPr txBox="1"/>
      </xdr:nvSpPr>
      <xdr:spPr>
        <a:xfrm>
          <a:off x="22407563" y="428624"/>
          <a:ext cx="7439955" cy="1216818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none">
              <a:latin typeface="Montserrat" pitchFamily="2" charset="0"/>
            </a:rPr>
            <a:t>USER GUIDANCE</a:t>
          </a:r>
        </a:p>
        <a:p>
          <a:r>
            <a:rPr lang="en-US" sz="1100" b="0" i="0">
              <a:solidFill>
                <a:schemeClr val="dk1"/>
              </a:solidFill>
              <a:effectLst/>
              <a:latin typeface="Montserrat" pitchFamily="2" charset="0"/>
              <a:ea typeface="+mn-ea"/>
              <a:cs typeface="+mn-cs"/>
            </a:rPr>
            <a:t>Report in table 1 for each</a:t>
          </a:r>
          <a:r>
            <a:rPr lang="en-GB" sz="1100" b="0" baseline="0">
              <a:solidFill>
                <a:schemeClr val="dk1"/>
              </a:solidFill>
              <a:effectLst/>
              <a:latin typeface="Montserrat" pitchFamily="2" charset="0"/>
              <a:ea typeface="+mn-ea"/>
              <a:cs typeface="+mn-cs"/>
            </a:rPr>
            <a:t> treatment the product and treatment details</a:t>
          </a:r>
          <a:r>
            <a:rPr lang="en-US" sz="1100" b="0" i="0" baseline="0">
              <a:solidFill>
                <a:schemeClr val="dk1"/>
              </a:solidFill>
              <a:effectLst/>
              <a:latin typeface="Montserrat" pitchFamily="2" charset="0"/>
              <a:ea typeface="+mn-ea"/>
              <a:cs typeface="+mn-cs"/>
            </a:rPr>
            <a:t> at the </a:t>
          </a:r>
          <a:r>
            <a:rPr lang="en-US" sz="1100" b="0" i="0">
              <a:solidFill>
                <a:schemeClr val="dk1"/>
              </a:solidFill>
              <a:effectLst/>
              <a:latin typeface="Montserrat" pitchFamily="2" charset="0"/>
              <a:ea typeface="+mn-ea"/>
              <a:cs typeface="+mn-cs"/>
            </a:rPr>
            <a:t>ASC</a:t>
          </a:r>
          <a:r>
            <a:rPr lang="en-US" sz="1100" b="0" i="0" baseline="0">
              <a:solidFill>
                <a:schemeClr val="dk1"/>
              </a:solidFill>
              <a:effectLst/>
              <a:latin typeface="Montserrat" pitchFamily="2" charset="0"/>
              <a:ea typeface="+mn-ea"/>
              <a:cs typeface="+mn-cs"/>
            </a:rPr>
            <a:t> </a:t>
          </a:r>
          <a:r>
            <a:rPr lang="en-US" sz="1100" b="0" i="1" baseline="0">
              <a:solidFill>
                <a:schemeClr val="dk1"/>
              </a:solidFill>
              <a:effectLst/>
              <a:latin typeface="Montserrat" pitchFamily="2" charset="0"/>
              <a:ea typeface="+mn-ea"/>
              <a:cs typeface="+mn-cs"/>
            </a:rPr>
            <a:t>certified</a:t>
          </a:r>
          <a:r>
            <a:rPr lang="en-US" sz="1100" b="0" i="0" baseline="0">
              <a:solidFill>
                <a:schemeClr val="dk1"/>
              </a:solidFill>
              <a:effectLst/>
              <a:latin typeface="Montserrat" pitchFamily="2" charset="0"/>
              <a:ea typeface="+mn-ea"/>
              <a:cs typeface="+mn-cs"/>
            </a:rPr>
            <a:t> or </a:t>
          </a:r>
          <a:r>
            <a:rPr lang="en-US" sz="1100" b="0" i="1" baseline="0">
              <a:solidFill>
                <a:schemeClr val="dk1"/>
              </a:solidFill>
              <a:effectLst/>
              <a:latin typeface="Montserrat" pitchFamily="2" charset="0"/>
              <a:ea typeface="+mn-ea"/>
              <a:cs typeface="+mn-cs"/>
            </a:rPr>
            <a:t>suspended</a:t>
          </a:r>
          <a:r>
            <a:rPr lang="en-US" sz="1100" b="0" i="0" baseline="0">
              <a:solidFill>
                <a:schemeClr val="dk1"/>
              </a:solidFill>
              <a:effectLst/>
              <a:latin typeface="Montserrat" pitchFamily="2" charset="0"/>
              <a:ea typeface="+mn-ea"/>
              <a:cs typeface="+mn-cs"/>
            </a:rPr>
            <a:t> farm site where harvest took place in the reporting year. In case no treatments were conducted, no reporting is required in table 1. </a:t>
          </a:r>
          <a:r>
            <a:rPr lang="en-GB" sz="1100" b="0">
              <a:solidFill>
                <a:schemeClr val="dk1"/>
              </a:solidFill>
              <a:effectLst/>
              <a:latin typeface="Montserrat" pitchFamily="2" charset="0"/>
              <a:ea typeface="+mn-ea"/>
              <a:cs typeface="+mn-cs"/>
            </a:rPr>
            <a:t>A treatment is a single course medication given to address a specific disease issue and may last a number of days.</a:t>
          </a:r>
          <a:endParaRPr lang="en-US" sz="1100" b="0" i="0" baseline="0">
            <a:solidFill>
              <a:schemeClr val="dk1"/>
            </a:solidFill>
            <a:effectLst/>
            <a:latin typeface="Montserrat" pitchFamily="2" charset="0"/>
            <a:ea typeface="+mn-ea"/>
            <a:cs typeface="+mn-cs"/>
          </a:endParaRPr>
        </a:p>
        <a:p>
          <a:endParaRPr lang="en-NL">
            <a:effectLst/>
            <a:latin typeface="Montserrat" pitchFamily="2" charset="0"/>
          </a:endParaRPr>
        </a:p>
        <a:p>
          <a:r>
            <a:rPr lang="en-US" sz="1100" b="0" i="0" baseline="0">
              <a:solidFill>
                <a:schemeClr val="dk1"/>
              </a:solidFill>
              <a:effectLst/>
              <a:latin typeface="Montserrat" pitchFamily="2" charset="0"/>
              <a:ea typeface="+mn-ea"/>
              <a:cs typeface="+mn-cs"/>
            </a:rPr>
            <a:t>In table 2 the antibiotic load is calculated per species over the </a:t>
          </a:r>
          <a:r>
            <a:rPr lang="en-US" sz="1100" b="0" i="1" baseline="0">
              <a:solidFill>
                <a:schemeClr val="dk1"/>
              </a:solidFill>
              <a:effectLst/>
              <a:latin typeface="Montserrat" pitchFamily="2" charset="0"/>
              <a:ea typeface="+mn-ea"/>
              <a:cs typeface="+mn-cs"/>
            </a:rPr>
            <a:t>ASC certified </a:t>
          </a:r>
          <a:r>
            <a:rPr lang="en-US" sz="1100" b="0" i="0" baseline="0">
              <a:solidFill>
                <a:schemeClr val="dk1"/>
              </a:solidFill>
              <a:effectLst/>
              <a:latin typeface="Montserrat" pitchFamily="2" charset="0"/>
              <a:ea typeface="+mn-ea"/>
              <a:cs typeface="+mn-cs"/>
            </a:rPr>
            <a:t>net production volume in the reporting year. All relevant production data is autopopulated from the 'Site and production details' tab.</a:t>
          </a:r>
        </a:p>
        <a:p>
          <a:endParaRPr lang="en-NL">
            <a:effectLst/>
            <a:latin typeface="Montserrat" pitchFamily="2" charset="0"/>
          </a:endParaRPr>
        </a:p>
        <a:p>
          <a:r>
            <a:rPr lang="en-US" sz="1100" b="1" i="0" u="sng">
              <a:solidFill>
                <a:schemeClr val="dk1"/>
              </a:solidFill>
              <a:effectLst/>
              <a:latin typeface="Montserrat" pitchFamily="2" charset="0"/>
              <a:ea typeface="+mn-ea"/>
              <a:cs typeface="+mn-cs"/>
            </a:rPr>
            <a:t>TABLE 1. Veterinary therapeutants reporting</a:t>
          </a: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Species in production (select) </a:t>
          </a:r>
          <a:r>
            <a:rPr lang="en-US" sz="1100" b="0" i="0">
              <a:solidFill>
                <a:schemeClr val="dk1"/>
              </a:solidFill>
              <a:effectLst/>
              <a:latin typeface="Montserrat" pitchFamily="2" charset="0"/>
              <a:ea typeface="+mn-ea"/>
              <a:cs typeface="+mn-cs"/>
            </a:rPr>
            <a:t>(Mandatory field)</a:t>
          </a:r>
        </a:p>
        <a:p>
          <a:r>
            <a:rPr lang="en-GB" sz="1100" b="0" baseline="0">
              <a:solidFill>
                <a:schemeClr val="dk1"/>
              </a:solidFill>
              <a:effectLst/>
              <a:latin typeface="Montserrat" pitchFamily="2" charset="0"/>
              <a:ea typeface="+mn-ea"/>
              <a:cs typeface="+mn-cs"/>
            </a:rPr>
            <a:t>Select the species in production for which a treatment is reported for using the dropdown menu. The selection option is based on the species name provided in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GB">
            <a:effectLst/>
            <a:latin typeface="Montserrat" pitchFamily="2" charset="0"/>
          </a:endParaRPr>
        </a:p>
        <a:p>
          <a:pPr eaLnBrk="1" fontAlgn="auto" latinLnBrk="0" hangingPunct="1"/>
          <a:r>
            <a:rPr lang="en-US" sz="1100" b="1" i="0">
              <a:solidFill>
                <a:schemeClr val="dk1"/>
              </a:solidFill>
              <a:effectLst/>
              <a:latin typeface="Montserrat" pitchFamily="2" charset="0"/>
              <a:ea typeface="+mn-ea"/>
              <a:cs typeface="+mn-cs"/>
            </a:rPr>
            <a:t>Cycle ID (select) </a:t>
          </a:r>
          <a:r>
            <a:rPr lang="en-US" sz="1100" b="0" i="0">
              <a:solidFill>
                <a:schemeClr val="dk1"/>
              </a:solidFill>
              <a:effectLst/>
              <a:latin typeface="Montserrat" pitchFamily="2" charset="0"/>
              <a:ea typeface="+mn-ea"/>
              <a:cs typeface="+mn-cs"/>
            </a:rPr>
            <a:t>(Voluntary field)</a:t>
          </a:r>
        </a:p>
        <a:p>
          <a:r>
            <a:rPr lang="en-GB" sz="1100" b="0" baseline="0">
              <a:solidFill>
                <a:schemeClr val="dk1"/>
              </a:solidFill>
              <a:effectLst/>
              <a:latin typeface="Montserrat" pitchFamily="2" charset="0"/>
              <a:ea typeface="+mn-ea"/>
              <a:cs typeface="+mn-cs"/>
            </a:rPr>
            <a:t>Select the cycle ID a treatment is reported for using the dropdown menu. The selection options are based on the cycle IDs provided in the 'Site and production details' tab.</a:t>
          </a:r>
          <a:endParaRPr lang="en-NL">
            <a:effectLst/>
            <a:latin typeface="Montserrat" pitchFamily="2" charset="0"/>
          </a:endParaRPr>
        </a:p>
        <a:p>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Start date of treatment (dd-mm-yyyy)</a:t>
          </a:r>
          <a:r>
            <a:rPr lang="en-US" sz="1100" b="0" i="0">
              <a:solidFill>
                <a:schemeClr val="dk1"/>
              </a:solidFill>
              <a:effectLst/>
              <a:latin typeface="Montserrat" pitchFamily="2" charset="0"/>
              <a:ea typeface="+mn-ea"/>
              <a:cs typeface="+mn-cs"/>
            </a:rPr>
            <a:t> (Mandatory field)</a:t>
          </a:r>
          <a:endParaRPr lang="en-US" sz="1100" b="1" i="0">
            <a:solidFill>
              <a:schemeClr val="dk1"/>
            </a:solidFill>
            <a:effectLst/>
            <a:latin typeface="Montserrat" pitchFamily="2" charset="0"/>
            <a:ea typeface="+mn-ea"/>
            <a:cs typeface="+mn-cs"/>
          </a:endParaRPr>
        </a:p>
        <a:p>
          <a:pPr eaLnBrk="1" fontAlgn="auto" latinLnBrk="0" hangingPunct="1"/>
          <a:r>
            <a:rPr lang="en-US" sz="1100" b="0" i="0">
              <a:solidFill>
                <a:schemeClr val="dk1"/>
              </a:solidFill>
              <a:effectLst/>
              <a:latin typeface="Montserrat" pitchFamily="2" charset="0"/>
              <a:ea typeface="+mn-ea"/>
              <a:cs typeface="+mn-cs"/>
            </a:rPr>
            <a:t>Provide the date of the first day the treatment was started.</a:t>
          </a:r>
        </a:p>
        <a:p>
          <a:pPr eaLnBrk="1" fontAlgn="auto" latinLnBrk="0" hangingPunct="1"/>
          <a:endParaRPr lang="en-US" sz="1100" b="1" i="0">
            <a:solidFill>
              <a:schemeClr val="dk1"/>
            </a:solidFill>
            <a:effectLst/>
            <a:latin typeface="Montserrat" pitchFamily="2" charset="0"/>
            <a:ea typeface="+mn-ea"/>
            <a:cs typeface="+mn-cs"/>
          </a:endParaRPr>
        </a:p>
        <a:p>
          <a:pPr eaLnBrk="1" fontAlgn="auto" latinLnBrk="0" hangingPunct="1"/>
          <a:r>
            <a:rPr lang="en-US" sz="1100" b="1" i="0">
              <a:solidFill>
                <a:schemeClr val="dk1"/>
              </a:solidFill>
              <a:effectLst/>
              <a:latin typeface="Montserrat" pitchFamily="2" charset="0"/>
              <a:ea typeface="+mn-ea"/>
              <a:cs typeface="+mn-cs"/>
            </a:rPr>
            <a:t>End date of treatment (dd-mm-yyyy) </a:t>
          </a:r>
          <a:r>
            <a:rPr lang="en-US" sz="1100" b="0" i="0">
              <a:solidFill>
                <a:schemeClr val="dk1"/>
              </a:solidFill>
              <a:effectLst/>
              <a:latin typeface="Montserrat" pitchFamily="2" charset="0"/>
              <a:ea typeface="+mn-ea"/>
              <a:cs typeface="+mn-cs"/>
            </a:rPr>
            <a:t>(Mandatory field)</a:t>
          </a:r>
        </a:p>
        <a:p>
          <a:pPr eaLnBrk="1" fontAlgn="auto" latinLnBrk="0" hangingPunct="1"/>
          <a:r>
            <a:rPr lang="en-US" sz="1100" b="0" i="0">
              <a:solidFill>
                <a:schemeClr val="dk1"/>
              </a:solidFill>
              <a:effectLst/>
              <a:latin typeface="Montserrat" pitchFamily="2" charset="0"/>
              <a:ea typeface="+mn-ea"/>
              <a:cs typeface="+mn-cs"/>
            </a:rPr>
            <a:t>Provide the date of the final day of the treatment. If a treatment is finished within a day, provide here the same date as the start date of treatment.</a:t>
          </a:r>
        </a:p>
        <a:p>
          <a:pPr eaLnBrk="1" fontAlgn="auto" latinLnBrk="0" hangingPunct="1"/>
          <a:endParaRPr lang="en-US" sz="1100" b="1" i="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itchFamily="2" charset="0"/>
            </a:rPr>
            <a:t>Type of </a:t>
          </a:r>
          <a:r>
            <a:rPr lang="en-US" b="1">
              <a:effectLst/>
              <a:latin typeface="Montserrat" pitchFamily="2" charset="0"/>
            </a:rPr>
            <a:t>treatment (select) </a:t>
          </a:r>
          <a:r>
            <a:rPr lang="en-US" b="0">
              <a:effectLst/>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Select the type of treatment that is applied. </a:t>
          </a:r>
          <a:r>
            <a:rPr lang="en-US" sz="1100" b="0">
              <a:solidFill>
                <a:schemeClr val="dk1"/>
              </a:solidFill>
              <a:effectLst/>
              <a:latin typeface="Montserrat" pitchFamily="2" charset="0"/>
              <a:ea typeface="+mn-ea"/>
              <a:cs typeface="+mn-cs"/>
            </a:rPr>
            <a:t>In case the type of treatment is not</a:t>
          </a:r>
          <a:r>
            <a:rPr lang="en-US" sz="1100" b="0" baseline="0">
              <a:solidFill>
                <a:schemeClr val="dk1"/>
              </a:solidFill>
              <a:effectLst/>
              <a:latin typeface="Montserrat" pitchFamily="2" charset="0"/>
              <a:ea typeface="+mn-ea"/>
              <a:cs typeface="+mn-cs"/>
            </a:rPr>
            <a:t> one of the options provided, please type out the treatment type as concise as possible.</a:t>
          </a:r>
          <a:endParaRPr lang="en-NL">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Reason for use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Indicate the medical reason for the treatment.</a:t>
          </a:r>
        </a:p>
        <a:p>
          <a:pPr marL="0" marR="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Active component name </a:t>
          </a:r>
          <a:r>
            <a:rPr lang="en-GB" sz="1100" b="0" u="none" baseline="0">
              <a:latin typeface="Montserrat" pitchFamily="2" charset="0"/>
            </a:rPr>
            <a:t>(Mandatory field)</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Provide the name of the active component (agent) of the product used for the treatment.</a:t>
          </a:r>
        </a:p>
        <a:p>
          <a:pPr marL="0" marR="0" indent="0" defTabSz="914400" eaLnBrk="1" fontAlgn="auto" latinLnBrk="0" hangingPunct="1">
            <a:lnSpc>
              <a:spcPct val="100000"/>
            </a:lnSpc>
            <a:spcBef>
              <a:spcPts val="0"/>
            </a:spcBef>
            <a:spcAft>
              <a:spcPts val="0"/>
            </a:spcAft>
            <a:buClrTx/>
            <a:buSzTx/>
            <a:buFontTx/>
            <a:buNone/>
            <a:tabLst/>
            <a:defRPr/>
          </a:pPr>
          <a:r>
            <a:rPr lang="en-GB" sz="1100" b="0" u="none" baseline="0">
              <a:latin typeface="Montserrat" pitchFamily="2" charset="0"/>
            </a:rPr>
            <a:t> </a:t>
          </a:r>
        </a:p>
        <a:p>
          <a:pPr marL="0" marR="0" indent="0" defTabSz="914400" eaLnBrk="1" fontAlgn="auto" latinLnBrk="0" hangingPunct="1">
            <a:lnSpc>
              <a:spcPct val="100000"/>
            </a:lnSpc>
            <a:spcBef>
              <a:spcPts val="0"/>
            </a:spcBef>
            <a:spcAft>
              <a:spcPts val="0"/>
            </a:spcAft>
            <a:buClrTx/>
            <a:buSzTx/>
            <a:buFontTx/>
            <a:buNone/>
            <a:tabLst/>
            <a:defRPr/>
          </a:pPr>
          <a:r>
            <a:rPr lang="en-GB" sz="1100" b="1" u="none" baseline="0">
              <a:latin typeface="Montserrat" pitchFamily="2" charset="0"/>
            </a:rPr>
            <a:t>Product name </a:t>
          </a:r>
          <a:r>
            <a:rPr lang="en-GB" sz="1100" b="0" u="none" baseline="0">
              <a:latin typeface="Montserrat" pitchFamily="2" charset="0"/>
            </a:rPr>
            <a:t>(Mandatory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Provide the product name of the product used for the treatment.</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u="none" baseline="0">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a:solidFill>
                <a:schemeClr val="tx1"/>
              </a:solidFill>
              <a:effectLst/>
              <a:latin typeface="Montserrat" pitchFamily="2" charset="0"/>
              <a:ea typeface="+mn-ea"/>
              <a:cs typeface="+mn-cs"/>
            </a:rPr>
            <a:t>WHO classification (select)</a:t>
          </a:r>
          <a:r>
            <a:rPr lang="en-GB" sz="1100" b="1" baseline="0">
              <a:solidFill>
                <a:schemeClr val="tx1"/>
              </a:solidFill>
              <a:effectLst/>
              <a:latin typeface="Montserrat" pitchFamily="2" charset="0"/>
              <a:ea typeface="+mn-ea"/>
              <a:cs typeface="+mn-cs"/>
            </a:rPr>
            <a:t> </a:t>
          </a:r>
          <a:r>
            <a:rPr lang="en-GB" sz="1100" b="0" baseline="0">
              <a:solidFill>
                <a:schemeClr val="tx1"/>
              </a:solidFill>
              <a:effectLst/>
              <a:latin typeface="Montserrat" pitchFamily="2" charset="0"/>
              <a:ea typeface="+mn-ea"/>
              <a:cs typeface="+mn-cs"/>
            </a:rPr>
            <a:t>(Mandatory field)</a:t>
          </a:r>
        </a:p>
        <a:p>
          <a:r>
            <a:rPr lang="en-GB" sz="1100" b="0">
              <a:solidFill>
                <a:schemeClr val="tx1"/>
              </a:solidFill>
              <a:effectLst/>
              <a:latin typeface="Montserrat" pitchFamily="2" charset="0"/>
              <a:ea typeface="+mn-ea"/>
              <a:cs typeface="+mn-cs"/>
            </a:rPr>
            <a:t>Select the WHO classification of the treatment used. If not listed in the WHO classification, select 'Not important antimicrobial'.</a:t>
          </a:r>
        </a:p>
        <a:p>
          <a:r>
            <a:rPr lang="en-GB" sz="1100" b="0">
              <a:solidFill>
                <a:schemeClr val="tx1"/>
              </a:solidFill>
              <a:effectLst/>
              <a:latin typeface="Montserrat" pitchFamily="2" charset="0"/>
              <a:ea typeface="+mn-ea"/>
              <a:cs typeface="+mn-cs"/>
            </a:rPr>
            <a:t>The WHO classification list is available online here: https://www.who.int/groups/advisory-group-on-the-who-list-of-critically-important-antimicrobials</a:t>
          </a:r>
        </a:p>
        <a:p>
          <a:endParaRPr lang="en-US" sz="1100" b="1" i="0" baseline="0">
            <a:solidFill>
              <a:schemeClr val="dk1"/>
            </a:solidFill>
            <a:effectLst/>
            <a:latin typeface="Montserrat" pitchFamily="2" charset="0"/>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latin typeface="Montserrat" pitchFamily="2" charset="0"/>
            </a:rPr>
            <a:t>Amount of active component (kg) </a:t>
          </a:r>
          <a:r>
            <a:rPr lang="en-GB" sz="1100" b="0" baseline="0">
              <a:latin typeface="Montserrat" pitchFamily="2" charset="0"/>
            </a:rPr>
            <a:t>(Mandatory field)</a:t>
          </a:r>
        </a:p>
        <a:p>
          <a:r>
            <a:rPr lang="en-GB" sz="1100" b="0" baseline="0">
              <a:solidFill>
                <a:schemeClr val="dk1"/>
              </a:solidFill>
              <a:effectLst/>
              <a:latin typeface="Montserrat" pitchFamily="2" charset="0"/>
              <a:ea typeface="+mn-ea"/>
              <a:cs typeface="+mn-cs"/>
            </a:rPr>
            <a:t>Indicate the total amount of active substance that has been applied during the treatment in kilograms (kg). This can be calculated from the amount of active component as indicated on the product. E.g if a parasiticide contains 10mg/mL of active components and 1L of parasiticide is applied, then 10.000mg = 10g = 0.01 kg of active component is applied.</a:t>
          </a:r>
          <a:endParaRPr lang="en-NL">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itchFamily="2" charset="0"/>
              <a:ea typeface="+mn-ea"/>
              <a:cs typeface="+mn-cs"/>
            </a:rPr>
            <a:t>Notes</a:t>
          </a:r>
          <a:r>
            <a:rPr lang="en-GB" sz="1100" b="0" baseline="0">
              <a:solidFill>
                <a:schemeClr val="dk1"/>
              </a:solidFill>
              <a:effectLst/>
              <a:latin typeface="Montserrat" pitchFamily="2" charset="0"/>
              <a:ea typeface="+mn-ea"/>
              <a:cs typeface="+mn-cs"/>
            </a:rPr>
            <a:t> (Voluntary field)</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itchFamily="2" charset="0"/>
              <a:ea typeface="+mn-ea"/>
              <a:cs typeface="+mn-cs"/>
            </a:rPr>
            <a:t>This field may be used to provide any other relevant information or clarifications.</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b="1" u="sng">
              <a:effectLst/>
              <a:latin typeface="Montserrat" pitchFamily="2" charset="0"/>
            </a:rPr>
            <a:t>TABLE 2. Calculated antibiotic load per species</a:t>
          </a: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Species in production (latin name)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itchFamily="2" charset="0"/>
            </a:rPr>
            <a:t>The species in production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b="1">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ASC certified net production volume (tonnes) </a:t>
          </a:r>
          <a:r>
            <a:rPr lang="en-US" b="0">
              <a:effectLst/>
              <a:latin typeface="Montserrat" pitchFamily="2" charset="0"/>
            </a:rPr>
            <a:t>(Autopopulated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ASC certified net production volume is autopopulated from the 'Site and </a:t>
          </a:r>
          <a:r>
            <a:rPr lang="en-US">
              <a:effectLst/>
              <a:latin typeface="Montserrat" pitchFamily="2" charset="0"/>
            </a:rPr>
            <a:t>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b="1">
              <a:effectLst/>
              <a:latin typeface="Montserrat" pitchFamily="2" charset="0"/>
            </a:rPr>
            <a:t>Antibiotic load (kg/tonne) </a:t>
          </a:r>
          <a:r>
            <a:rPr lang="en-US" b="0">
              <a:effectLst/>
              <a:latin typeface="Montserrat" pitchFamily="2" charset="0"/>
            </a:rPr>
            <a:t>(Calculated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b="0">
              <a:effectLst/>
              <a:latin typeface="Montserrat" pitchFamily="2" charset="0"/>
            </a:rPr>
            <a:t>The antibiotic</a:t>
          </a:r>
          <a:r>
            <a:rPr lang="en-US" b="0" baseline="0">
              <a:effectLst/>
              <a:latin typeface="Montserrat" pitchFamily="2" charset="0"/>
            </a:rPr>
            <a:t> load is automatically calculated per </a:t>
          </a:r>
          <a:r>
            <a:rPr lang="en-US" baseline="0">
              <a:effectLst/>
              <a:latin typeface="Montserrat" pitchFamily="2" charset="0"/>
            </a:rPr>
            <a:t>species over the </a:t>
          </a:r>
          <a:r>
            <a:rPr lang="en-US" sz="1100" b="0" i="0" baseline="0">
              <a:solidFill>
                <a:schemeClr val="dk1"/>
              </a:solidFill>
              <a:effectLst/>
              <a:latin typeface="Montserrat" pitchFamily="2" charset="0"/>
              <a:ea typeface="+mn-ea"/>
              <a:cs typeface="+mn-cs"/>
            </a:rPr>
            <a:t>ASC certified net production volume as follows: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baseline="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i="1">
              <a:effectLst/>
              <a:latin typeface="Montserrat" pitchFamily="2" charset="0"/>
            </a:rPr>
            <a:t>	antibiotic load (kg/tonne) = total mass of active component (kg) / net production volume (tonnes) </a:t>
          </a:r>
        </a:p>
        <a:p>
          <a:pPr marL="0" marR="0" lvl="0" indent="0" defTabSz="914400" eaLnBrk="1" fontAlgn="auto" latinLnBrk="0" hangingPunct="1">
            <a:lnSpc>
              <a:spcPct val="100000"/>
            </a:lnSpc>
            <a:spcBef>
              <a:spcPts val="0"/>
            </a:spcBef>
            <a:spcAft>
              <a:spcPts val="0"/>
            </a:spcAft>
            <a:buClrTx/>
            <a:buSzTx/>
            <a:buFontTx/>
            <a:buNone/>
            <a:tabLst/>
            <a:defRPr/>
          </a:pPr>
          <a:endParaRPr lang="en-NL" u="sng">
            <a:effectLst/>
            <a:latin typeface="Montserrat" pitchFamily="2" charset="0"/>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latin typeface="Montserrat"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3" name="TextBox 1">
          <a:extLst>
            <a:ext uri="{FF2B5EF4-FFF2-40B4-BE49-F238E27FC236}">
              <a16:creationId xmlns:a16="http://schemas.microsoft.com/office/drawing/2014/main" id="{00000000-0008-0000-2200-000002000000}"/>
            </a:ext>
          </a:extLst>
        </xdr:cNvPr>
        <xdr:cNvSpPr txBox="1"/>
      </xdr:nvSpPr>
      <xdr:spPr>
        <a:xfrm>
          <a:off x="18107025" y="3159125"/>
          <a:ext cx="6029325" cy="7029880"/>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0</xdr:colOff>
      <xdr:row>2</xdr:row>
      <xdr:rowOff>0</xdr:rowOff>
    </xdr:from>
    <xdr:to>
      <xdr:col>26</xdr:col>
      <xdr:colOff>616473</xdr:colOff>
      <xdr:row>46</xdr:row>
      <xdr:rowOff>6666</xdr:rowOff>
    </xdr:to>
    <xdr:sp macro="" textlink="">
      <xdr:nvSpPr>
        <xdr:cNvPr id="2" name="TextBox 1">
          <a:extLst>
            <a:ext uri="{FF2B5EF4-FFF2-40B4-BE49-F238E27FC236}">
              <a16:creationId xmlns:a16="http://schemas.microsoft.com/office/drawing/2014/main" id="{CFEB2BCD-4314-435F-9C9B-3B5A1F029D88}"/>
            </a:ext>
          </a:extLst>
        </xdr:cNvPr>
        <xdr:cNvSpPr txBox="1"/>
      </xdr:nvSpPr>
      <xdr:spPr>
        <a:xfrm>
          <a:off x="16946563" y="428625"/>
          <a:ext cx="7426848" cy="966660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anose="00000500000000000000" pitchFamily="2" charset="0"/>
              <a:ea typeface="+mn-ea"/>
              <a:cs typeface="+mn-cs"/>
            </a:rPr>
            <a:t>USER GUIDANCE</a:t>
          </a:r>
          <a:endParaRPr lang="de-DE" sz="1100" b="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Report in table 1 all the relevant information on all escape events that occurred during the production period at the</a:t>
          </a:r>
          <a:r>
            <a:rPr lang="en-US" baseline="0">
              <a:effectLst/>
              <a:latin typeface="Montserrat" panose="00000500000000000000" pitchFamily="2" charset="0"/>
            </a:rPr>
            <a:t> AS</a:t>
          </a:r>
          <a:r>
            <a:rPr lang="en-US">
              <a:effectLst/>
              <a:latin typeface="Montserrat" panose="00000500000000000000" pitchFamily="2" charset="0"/>
            </a:rPr>
            <a:t>C </a:t>
          </a:r>
          <a:r>
            <a:rPr lang="en-US" i="1">
              <a:effectLst/>
              <a:latin typeface="Montserrat" panose="00000500000000000000" pitchFamily="2" charset="0"/>
            </a:rPr>
            <a:t>certified </a:t>
          </a:r>
          <a:r>
            <a:rPr lang="en-US">
              <a:effectLst/>
              <a:latin typeface="Montserrat" panose="00000500000000000000" pitchFamily="2" charset="0"/>
            </a:rPr>
            <a:t>or </a:t>
          </a:r>
          <a:r>
            <a:rPr lang="en-US" i="1">
              <a:effectLst/>
              <a:latin typeface="Montserrat" panose="00000500000000000000" pitchFamily="2" charset="0"/>
            </a:rPr>
            <a:t>suspended</a:t>
          </a:r>
          <a:r>
            <a:rPr lang="en-US">
              <a:effectLst/>
              <a:latin typeface="Montserrat" panose="00000500000000000000" pitchFamily="2" charset="0"/>
            </a:rPr>
            <a:t> site. In case no escape</a:t>
          </a:r>
          <a:r>
            <a:rPr lang="en-US" baseline="0">
              <a:effectLst/>
              <a:latin typeface="Montserrat" panose="00000500000000000000" pitchFamily="2" charset="0"/>
            </a:rPr>
            <a:t> events</a:t>
          </a:r>
          <a:r>
            <a:rPr lang="en-US">
              <a:effectLst/>
              <a:latin typeface="Montserrat" panose="00000500000000000000" pitchFamily="2" charset="0"/>
            </a:rPr>
            <a:t> were recorded, no reporting is required in table 1.</a:t>
          </a: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a:effectLst/>
              <a:latin typeface="Montserrat" panose="00000500000000000000" pitchFamily="2" charset="0"/>
            </a:rPr>
            <a:t>In table 2 the total known escapes is calculated per species. All relevant production data is autopopulated from the 'Site and production details' tab. If no escapes are reported in Table 1, zero</a:t>
          </a:r>
          <a:r>
            <a:rPr lang="en-US" baseline="0">
              <a:effectLst/>
              <a:latin typeface="Montserrat" panose="00000500000000000000" pitchFamily="2" charset="0"/>
            </a:rPr>
            <a:t> (0)</a:t>
          </a:r>
          <a:r>
            <a:rPr lang="en-US">
              <a:effectLst/>
              <a:latin typeface="Montserrat" panose="00000500000000000000" pitchFamily="2" charset="0"/>
            </a:rPr>
            <a:t> will be automatically shown in table</a:t>
          </a:r>
          <a:r>
            <a:rPr lang="en-US" baseline="0">
              <a:effectLst/>
              <a:latin typeface="Montserrat" panose="00000500000000000000" pitchFamily="2" charset="0"/>
            </a:rPr>
            <a:t> 2</a:t>
          </a:r>
          <a:r>
            <a:rPr lang="en-US">
              <a:effectLst/>
              <a:latin typeface="Montserrat" panose="00000500000000000000" pitchFamily="2" charset="0"/>
            </a:rPr>
            <a:t>.</a:t>
          </a:r>
        </a:p>
        <a:p>
          <a:pPr eaLnBrk="1" fontAlgn="auto" latinLnBrk="0" hangingPunct="1"/>
          <a:endParaRPr lang="en-GB" sz="1100" b="0" baseline="0">
            <a:solidFill>
              <a:schemeClr val="dk1"/>
            </a:solidFill>
            <a:effectLst/>
            <a:latin typeface="Montserrat" panose="00000500000000000000" pitchFamily="2" charset="0"/>
            <a:ea typeface="+mn-ea"/>
            <a:cs typeface="+mn-cs"/>
          </a:endParaRPr>
        </a:p>
        <a:p>
          <a:pPr eaLnBrk="1" fontAlgn="auto" latinLnBrk="0" hangingPunct="1"/>
          <a:r>
            <a:rPr lang="en-GB" sz="1100" b="1" u="sng" baseline="0">
              <a:solidFill>
                <a:schemeClr val="dk1"/>
              </a:solidFill>
              <a:effectLst/>
              <a:latin typeface="Montserrat" panose="00000500000000000000" pitchFamily="2" charset="0"/>
              <a:ea typeface="+mn-ea"/>
              <a:cs typeface="+mn-cs"/>
            </a:rPr>
            <a:t>TABLE 1. Known escapes reporting</a:t>
          </a:r>
          <a:endParaRPr lang="en-GB" sz="1100">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Species in production (Latin name) (select)</a:t>
          </a:r>
          <a:r>
            <a:rPr lang="en-GB" sz="1100">
              <a:solidFill>
                <a:schemeClr val="dk1"/>
              </a:solidFill>
              <a:effectLst/>
              <a:latin typeface="Montserrat" panose="00000500000000000000" pitchFamily="2" charset="0"/>
              <a:ea typeface="+mn-ea"/>
              <a:cs typeface="+mn-cs"/>
            </a:rPr>
            <a:t> (Mandatory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Select the escaped species using the dropdown menu. The selection</a:t>
          </a:r>
          <a:r>
            <a:rPr lang="en-GB" sz="1100" baseline="0">
              <a:solidFill>
                <a:schemeClr val="dk1"/>
              </a:solidFill>
              <a:effectLst/>
              <a:latin typeface="Montserrat" panose="00000500000000000000" pitchFamily="2" charset="0"/>
              <a:ea typeface="+mn-ea"/>
              <a:cs typeface="+mn-cs"/>
            </a:rPr>
            <a:t> option is based </a:t>
          </a:r>
          <a:r>
            <a:rPr lang="en-GB" sz="1100">
              <a:solidFill>
                <a:schemeClr val="dk1"/>
              </a:solidFill>
              <a:effectLst/>
              <a:latin typeface="Montserrat" panose="00000500000000000000" pitchFamily="2" charset="0"/>
              <a:ea typeface="+mn-ea"/>
              <a:cs typeface="+mn-cs"/>
            </a:rPr>
            <a:t>on the species name provided in the </a:t>
          </a:r>
          <a:r>
            <a:rPr lang="en-US" sz="1100" b="0" i="0" baseline="0">
              <a:solidFill>
                <a:schemeClr val="dk1"/>
              </a:solidFill>
              <a:effectLst/>
              <a:latin typeface="Montserrat" panose="00000500000000000000" pitchFamily="2" charset="0"/>
              <a:ea typeface="+mn-ea"/>
              <a:cs typeface="+mn-cs"/>
            </a:rPr>
            <a:t>'Site and production details</a:t>
          </a:r>
          <a:r>
            <a:rPr lang="en-GB" sz="1100" i="1">
              <a:solidFill>
                <a:schemeClr val="dk1"/>
              </a:solidFill>
              <a:effectLst/>
              <a:latin typeface="Montserrat" panose="00000500000000000000" pitchFamily="2" charset="0"/>
              <a:ea typeface="+mn-ea"/>
              <a:cs typeface="+mn-cs"/>
            </a:rPr>
            <a:t>'</a:t>
          </a:r>
          <a:r>
            <a:rPr lang="en-GB" sz="1100" i="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tab.</a:t>
          </a:r>
          <a:endParaRPr lang="en-NL">
            <a:effectLst/>
            <a:latin typeface="Montserrat" panose="00000500000000000000" pitchFamily="2" charset="0"/>
          </a:endParaRPr>
        </a:p>
        <a:p>
          <a:endParaRPr lang="en-NL">
            <a:effectLst/>
            <a:latin typeface="Montserrat" panose="00000500000000000000" pitchFamily="2" charset="0"/>
          </a:endParaRPr>
        </a:p>
        <a:p>
          <a:pPr eaLnBrk="1" fontAlgn="auto" latinLnBrk="0" hangingPunct="1"/>
          <a:r>
            <a:rPr lang="en-US" sz="1100" b="1" i="0">
              <a:solidFill>
                <a:schemeClr val="dk1"/>
              </a:solidFill>
              <a:effectLst/>
              <a:latin typeface="Montserrat" panose="00000500000000000000" pitchFamily="2" charset="0"/>
              <a:ea typeface="+mn-ea"/>
              <a:cs typeface="+mn-cs"/>
            </a:rPr>
            <a:t>Cycle ID (select)</a:t>
          </a:r>
          <a:r>
            <a:rPr lang="en-US" sz="1100" b="0" i="0">
              <a:solidFill>
                <a:schemeClr val="dk1"/>
              </a:solidFill>
              <a:effectLst/>
              <a:latin typeface="Montserrat" panose="00000500000000000000" pitchFamily="2" charset="0"/>
              <a:ea typeface="+mn-ea"/>
              <a:cs typeface="+mn-cs"/>
            </a:rPr>
            <a:t> (Voluntary field)</a:t>
          </a:r>
          <a:endParaRPr lang="en-NL" b="0">
            <a:effectLst/>
            <a:latin typeface="Montserrat" panose="00000500000000000000" pitchFamily="2" charset="0"/>
          </a:endParaRPr>
        </a:p>
        <a:p>
          <a:r>
            <a:rPr lang="en-GB" sz="1100" b="0" baseline="0">
              <a:solidFill>
                <a:schemeClr val="dk1"/>
              </a:solidFill>
              <a:effectLst/>
              <a:latin typeface="Montserrat" panose="00000500000000000000" pitchFamily="2" charset="0"/>
              <a:ea typeface="+mn-ea"/>
              <a:cs typeface="+mn-cs"/>
            </a:rPr>
            <a:t>Select the cycle ID escapes are reported for </a:t>
          </a:r>
          <a:r>
            <a:rPr lang="en-GB" sz="1100">
              <a:solidFill>
                <a:schemeClr val="dk1"/>
              </a:solidFill>
              <a:effectLst/>
              <a:latin typeface="Montserrat" pitchFamily="2" charset="0"/>
              <a:ea typeface="+mn-ea"/>
              <a:cs typeface="+mn-cs"/>
            </a:rPr>
            <a:t>using the dropdown menu.</a:t>
          </a:r>
          <a:r>
            <a:rPr lang="en-GB" sz="1100" b="0" baseline="0">
              <a:solidFill>
                <a:schemeClr val="dk1"/>
              </a:solidFill>
              <a:effectLst/>
              <a:latin typeface="Montserrat" panose="00000500000000000000" pitchFamily="2" charset="0"/>
              <a:ea typeface="+mn-ea"/>
              <a:cs typeface="+mn-cs"/>
            </a:rPr>
            <a:t> The selection option is based on the cycle IDs provided in the 'Site and production details' tab.</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Date of </a:t>
          </a:r>
          <a:r>
            <a:rPr lang="en-US" sz="1100" b="1">
              <a:solidFill>
                <a:schemeClr val="dk1"/>
              </a:solidFill>
              <a:effectLst/>
              <a:latin typeface="Montserrat" panose="00000500000000000000" pitchFamily="2" charset="0"/>
              <a:ea typeface="+mn-ea"/>
              <a:cs typeface="+mn-cs"/>
            </a:rPr>
            <a:t>event (dd-mm-yyyy)</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endParaRPr lang="en-NL">
            <a:effectLst/>
            <a:latin typeface="Montserrat" panose="00000500000000000000" pitchFamily="2" charset="0"/>
          </a:endParaRPr>
        </a:p>
        <a:p>
          <a:r>
            <a:rPr lang="en-GB" sz="1100">
              <a:solidFill>
                <a:schemeClr val="dk1"/>
              </a:solidFill>
              <a:effectLst/>
              <a:latin typeface="Montserrat" panose="00000500000000000000" pitchFamily="2" charset="0"/>
              <a:ea typeface="+mn-ea"/>
              <a:cs typeface="+mn-cs"/>
            </a:rPr>
            <a:t>Indicate the date that the escape event occurred (or date of discovery).</a:t>
          </a:r>
          <a:endParaRPr lang="en-NL">
            <a:effectLst/>
            <a:latin typeface="Montserrat" panose="00000500000000000000" pitchFamily="2" charset="0"/>
          </a:endParaRPr>
        </a:p>
        <a:p>
          <a:endParaRPr lang="en-GB" sz="1100" b="1">
            <a:solidFill>
              <a:schemeClr val="dk1"/>
            </a:solidFill>
            <a:effectLst/>
            <a:latin typeface="Montserrat" panose="00000500000000000000" pitchFamily="2" charset="0"/>
            <a:ea typeface="+mn-ea"/>
            <a:cs typeface="+mn-cs"/>
          </a:endParaRPr>
        </a:p>
        <a:p>
          <a:r>
            <a:rPr lang="en-GB" sz="1100" b="1">
              <a:solidFill>
                <a:schemeClr val="dk1"/>
              </a:solidFill>
              <a:effectLst/>
              <a:latin typeface="Montserrat" panose="00000500000000000000" pitchFamily="2" charset="0"/>
              <a:ea typeface="+mn-ea"/>
              <a:cs typeface="+mn-cs"/>
            </a:rPr>
            <a:t>Number</a:t>
          </a:r>
          <a:r>
            <a:rPr lang="en-GB" sz="1100" b="1" baseline="0">
              <a:solidFill>
                <a:schemeClr val="dk1"/>
              </a:solidFill>
              <a:effectLst/>
              <a:latin typeface="Montserrat" panose="00000500000000000000" pitchFamily="2" charset="0"/>
              <a:ea typeface="+mn-ea"/>
              <a:cs typeface="+mn-cs"/>
            </a:rPr>
            <a:t> of escapees</a:t>
          </a:r>
          <a:r>
            <a:rPr lang="en-GB" sz="1100" b="1">
              <a:solidFill>
                <a:schemeClr val="dk1"/>
              </a:solidFill>
              <a:effectLst/>
              <a:latin typeface="Montserrat" panose="00000500000000000000" pitchFamily="2" charset="0"/>
              <a:ea typeface="+mn-ea"/>
              <a:cs typeface="+mn-cs"/>
            </a:rPr>
            <a:t> (# of animals)</a:t>
          </a:r>
          <a:r>
            <a:rPr lang="en-GB" sz="1100">
              <a:solidFill>
                <a:schemeClr val="dk1"/>
              </a:solidFill>
              <a:effectLst/>
              <a:latin typeface="Montserrat" panose="00000500000000000000" pitchFamily="2" charset="0"/>
              <a:ea typeface="+mn-ea"/>
              <a:cs typeface="+mn-cs"/>
            </a:rPr>
            <a:t> (Mandatory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a:solidFill>
                <a:schemeClr val="dk1"/>
              </a:solidFill>
              <a:effectLst/>
              <a:latin typeface="Montserrat" panose="00000500000000000000" pitchFamily="2" charset="0"/>
              <a:ea typeface="+mn-ea"/>
              <a:cs typeface="+mn-cs"/>
            </a:rPr>
            <a:t>Indicate the number of animals that escaped during the escape event. If animals were recovered after a specific escape event, they can</a:t>
          </a:r>
          <a:r>
            <a:rPr lang="en-GB" sz="1100" baseline="0">
              <a:solidFill>
                <a:schemeClr val="dk1"/>
              </a:solidFill>
              <a:effectLst/>
              <a:latin typeface="Montserrat" panose="00000500000000000000" pitchFamily="2" charset="0"/>
              <a:ea typeface="+mn-ea"/>
              <a:cs typeface="+mn-cs"/>
            </a:rPr>
            <a:t> be subtracted from the number of escapees</a:t>
          </a:r>
          <a:r>
            <a:rPr lang="en-US" sz="1100" baseline="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endParaRPr lang="en-NL">
            <a:effectLst/>
            <a:latin typeface="Montserrat" panose="00000500000000000000" pitchFamily="2" charset="0"/>
          </a:endParaRPr>
        </a:p>
        <a:p>
          <a:r>
            <a:rPr lang="en-US" sz="1100" b="1">
              <a:solidFill>
                <a:schemeClr val="dk1"/>
              </a:solidFill>
              <a:effectLst/>
              <a:latin typeface="Montserrat" panose="00000500000000000000" pitchFamily="2" charset="0"/>
              <a:ea typeface="+mn-ea"/>
              <a:cs typeface="+mn-cs"/>
            </a:rPr>
            <a:t>Cause of escape event (select)</a:t>
          </a:r>
          <a:r>
            <a:rPr lang="en-US" sz="1100">
              <a:solidFill>
                <a:schemeClr val="dk1"/>
              </a:solidFill>
              <a:effectLst/>
              <a:latin typeface="Montserrat" panose="00000500000000000000" pitchFamily="2" charset="0"/>
              <a:ea typeface="+mn-ea"/>
              <a:cs typeface="+mn-cs"/>
            </a:rPr>
            <a:t> </a:t>
          </a:r>
          <a:r>
            <a:rPr lang="en-GB" sz="1100">
              <a:solidFill>
                <a:schemeClr val="dk1"/>
              </a:solidFill>
              <a:effectLst/>
              <a:latin typeface="Montserrat" panose="00000500000000000000" pitchFamily="2" charset="0"/>
              <a:ea typeface="+mn-ea"/>
              <a:cs typeface="+mn-cs"/>
            </a:rPr>
            <a:t>(Mandatory field</a:t>
          </a:r>
          <a:r>
            <a:rPr lang="en-US" sz="1100">
              <a:solidFill>
                <a:schemeClr val="dk1"/>
              </a:solidFill>
              <a:effectLst/>
              <a:latin typeface="Montserrat" panose="00000500000000000000" pitchFamily="2" charset="0"/>
              <a:ea typeface="+mn-ea"/>
              <a:cs typeface="+mn-cs"/>
            </a:rPr>
            <a:t>)</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Select the cause for the escape event</a:t>
          </a:r>
          <a:r>
            <a:rPr lang="en-US" sz="1100" baseline="0">
              <a:solidFill>
                <a:schemeClr val="dk1"/>
              </a:solidFill>
              <a:effectLst/>
              <a:latin typeface="Montserrat" panose="00000500000000000000" pitchFamily="2" charset="0"/>
              <a:ea typeface="+mn-ea"/>
              <a:cs typeface="+mn-cs"/>
            </a:rPr>
            <a:t> </a:t>
          </a:r>
          <a:r>
            <a:rPr lang="en-GB" sz="1100">
              <a:solidFill>
                <a:schemeClr val="dk1"/>
              </a:solidFill>
              <a:effectLst/>
              <a:latin typeface="Montserrat" pitchFamily="2" charset="0"/>
              <a:ea typeface="+mn-ea"/>
              <a:cs typeface="+mn-cs"/>
            </a:rPr>
            <a:t>using the dropdown menu.</a:t>
          </a:r>
          <a:r>
            <a:rPr lang="en-US" sz="1100">
              <a:solidFill>
                <a:schemeClr val="dk1"/>
              </a:solidFill>
              <a:effectLst/>
              <a:latin typeface="Montserrat" panose="00000500000000000000" pitchFamily="2" charset="0"/>
              <a:ea typeface="+mn-ea"/>
              <a:cs typeface="+mn-cs"/>
            </a:rPr>
            <a:t> If the cause is not a listed option, please briefly type out the cause of the event.</a:t>
          </a:r>
          <a:endParaRPr lang="en-NL">
            <a:effectLst/>
            <a:latin typeface="Montserrat" panose="00000500000000000000" pitchFamily="2" charset="0"/>
          </a:endParaRPr>
        </a:p>
        <a:p>
          <a:endParaRPr lang="en-US" sz="1100" b="1">
            <a:solidFill>
              <a:schemeClr val="dk1"/>
            </a:solidFill>
            <a:effectLst/>
            <a:latin typeface="Montserrat" panose="00000500000000000000" pitchFamily="2" charset="0"/>
            <a:ea typeface="+mn-ea"/>
            <a:cs typeface="+mn-cs"/>
          </a:endParaRPr>
        </a:p>
        <a:p>
          <a:r>
            <a:rPr lang="en-US" sz="1100" b="1">
              <a:solidFill>
                <a:schemeClr val="dk1"/>
              </a:solidFill>
              <a:effectLst/>
              <a:latin typeface="Montserrat" panose="00000500000000000000" pitchFamily="2" charset="0"/>
              <a:ea typeface="+mn-ea"/>
              <a:cs typeface="+mn-cs"/>
            </a:rPr>
            <a:t>Notes </a:t>
          </a:r>
          <a:r>
            <a:rPr lang="en-US" sz="1100">
              <a:solidFill>
                <a:schemeClr val="dk1"/>
              </a:solidFill>
              <a:effectLst/>
              <a:latin typeface="Montserrat" panose="00000500000000000000" pitchFamily="2" charset="0"/>
              <a:ea typeface="+mn-ea"/>
              <a:cs typeface="+mn-cs"/>
            </a:rPr>
            <a:t>(Voluntary field)</a:t>
          </a:r>
          <a:endParaRPr lang="en-NL">
            <a:effectLst/>
            <a:latin typeface="Montserrat" panose="00000500000000000000" pitchFamily="2" charset="0"/>
          </a:endParaRPr>
        </a:p>
        <a:p>
          <a:r>
            <a:rPr lang="en-US" sz="1100">
              <a:solidFill>
                <a:schemeClr val="dk1"/>
              </a:solidFill>
              <a:effectLst/>
              <a:latin typeface="Montserrat" panose="00000500000000000000" pitchFamily="2" charset="0"/>
              <a:ea typeface="+mn-ea"/>
              <a:cs typeface="+mn-cs"/>
            </a:rPr>
            <a:t>This field may be used to provide any other relevant information or clarifications.</a:t>
          </a:r>
          <a:endParaRPr lang="en-NL">
            <a:effectLst/>
            <a:latin typeface="Montserrat" panose="00000500000000000000" pitchFamily="2" charset="0"/>
          </a:endParaRPr>
        </a:p>
        <a:p>
          <a:endParaRPr lang="en-GB">
            <a:effectLst/>
            <a:latin typeface="Montserrat" panose="00000500000000000000" pitchFamily="2" charset="0"/>
          </a:endParaRPr>
        </a:p>
        <a:p>
          <a:r>
            <a:rPr lang="en-GB" b="1" u="sng">
              <a:effectLst/>
              <a:latin typeface="Montserrat" panose="00000500000000000000" pitchFamily="2" charset="0"/>
            </a:rPr>
            <a:t>TABLE 2. Known escapes per species</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b="1">
              <a:effectLst/>
              <a:latin typeface="Montserrat" panose="00000500000000000000" pitchFamily="2" charset="0"/>
            </a:rPr>
            <a:t>Species in production (latin name) </a:t>
          </a:r>
          <a:r>
            <a:rPr lang="en-GB" sz="1100" b="0">
              <a:solidFill>
                <a:schemeClr val="dk1"/>
              </a:solidFill>
              <a:effectLst/>
              <a:latin typeface="Montserrat" panose="00000500000000000000" pitchFamily="2" charset="0"/>
              <a:ea typeface="+mn-ea"/>
              <a:cs typeface="+mn-cs"/>
            </a:rPr>
            <a:t>(Autopopulated field)</a:t>
          </a:r>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species in production</a:t>
          </a:r>
          <a:r>
            <a:rPr lang="en-US" sz="1100" b="0" i="0">
              <a:solidFill>
                <a:schemeClr val="dk1"/>
              </a:solidFill>
              <a:effectLst/>
              <a:latin typeface="Montserrat" panose="00000500000000000000" pitchFamily="2" charset="0"/>
              <a:ea typeface="+mn-ea"/>
              <a:cs typeface="+mn-cs"/>
            </a:rPr>
            <a:t> </a:t>
          </a:r>
          <a:r>
            <a:rPr lang="en-GB" sz="1100" b="0" baseline="0">
              <a:solidFill>
                <a:schemeClr val="dk1"/>
              </a:solidFill>
              <a:effectLst/>
              <a:latin typeface="Montserrat" panose="00000500000000000000" pitchFamily="2" charset="0"/>
              <a:ea typeface="+mn-ea"/>
              <a:cs typeface="+mn-cs"/>
            </a:rPr>
            <a:t>is autopopulated from the 'Site and production details' tab.</a:t>
          </a:r>
          <a:endParaRPr lang="en-NL">
            <a:effectLst/>
            <a:latin typeface="Montserrat" panose="00000500000000000000" pitchFamily="2" charset="0"/>
          </a:endParaRPr>
        </a:p>
        <a:p>
          <a:endParaRPr lang="en-GB" b="1">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ontserrat" panose="00000500000000000000" pitchFamily="2" charset="0"/>
              <a:ea typeface="+mn-ea"/>
              <a:cs typeface="+mn-cs"/>
            </a:rPr>
            <a:t>Standing stock, start yr (# animals) </a:t>
          </a:r>
          <a:r>
            <a:rPr lang="en-GB" sz="1100" b="0">
              <a:solidFill>
                <a:schemeClr val="dk1"/>
              </a:solidFill>
              <a:effectLst/>
              <a:latin typeface="Montserrat" panose="00000500000000000000" pitchFamily="2" charset="0"/>
              <a:ea typeface="+mn-ea"/>
              <a:cs typeface="+mn-cs"/>
            </a:rPr>
            <a:t>(Autopopulated field)</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ontserrat" panose="00000500000000000000" pitchFamily="2" charset="0"/>
              <a:ea typeface="+mn-ea"/>
              <a:cs typeface="+mn-cs"/>
            </a:rPr>
            <a:t>The standing stock at the start of ther year is autopopulated from the 'Site and production details' tab.</a:t>
          </a:r>
          <a:endParaRPr lang="en-N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Stocking count (# animals</a:t>
          </a:r>
          <a:r>
            <a:rPr lang="en-US" sz="1100" b="0">
              <a:latin typeface="Montserrat" panose="00000500000000000000" pitchFamily="2" charset="0"/>
            </a:rPr>
            <a:t>) (Autopopulated field)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Montserrat" panose="00000500000000000000" pitchFamily="2" charset="0"/>
            </a:rPr>
            <a:t>The stocking count is autopopulated from the 'Site and production details' tab.</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Montserrat" panose="00000500000000000000" pitchFamily="2" charset="0"/>
            </a:rPr>
            <a:t>Known escapes (# animals)</a:t>
          </a:r>
          <a:r>
            <a:rPr lang="en-US" sz="1100" b="1" baseline="0">
              <a:latin typeface="Montserrat" panose="00000500000000000000" pitchFamily="2" charset="0"/>
            </a:rPr>
            <a:t>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eaLnBrk="1" fontAlgn="auto" latinLnBrk="0" hangingPunct="1"/>
          <a:r>
            <a:rPr lang="en-US" sz="1100" b="0" i="0">
              <a:solidFill>
                <a:schemeClr val="dk1"/>
              </a:solidFill>
              <a:effectLst/>
              <a:latin typeface="Montserrat" panose="00000500000000000000" pitchFamily="2" charset="0"/>
              <a:ea typeface="+mn-ea"/>
              <a:cs typeface="+mn-cs"/>
            </a:rPr>
            <a:t>The</a:t>
          </a:r>
          <a:r>
            <a:rPr lang="en-US" sz="1100" b="0" i="0" baseline="0">
              <a:solidFill>
                <a:schemeClr val="dk1"/>
              </a:solidFill>
              <a:effectLst/>
              <a:latin typeface="Montserrat" panose="00000500000000000000" pitchFamily="2" charset="0"/>
              <a:ea typeface="+mn-ea"/>
              <a:cs typeface="+mn-cs"/>
            </a:rPr>
            <a:t> known escapes </a:t>
          </a:r>
          <a:r>
            <a:rPr lang="en-US" sz="1100" baseline="0">
              <a:solidFill>
                <a:schemeClr val="dk1"/>
              </a:solidFill>
              <a:effectLst/>
              <a:latin typeface="Montserrat" panose="00000500000000000000" pitchFamily="2" charset="0"/>
              <a:ea typeface="+mn-ea"/>
              <a:cs typeface="+mn-cs"/>
            </a:rPr>
            <a:t>is the total number of escapes per species per site and is automatically calculated from data reported in table 1.</a:t>
          </a:r>
        </a:p>
        <a:p>
          <a:pPr eaLnBrk="1" fontAlgn="auto" latinLnBrk="0" hangingPunct="1"/>
          <a:endParaRPr lang="en-US" sz="1100" baseline="0">
            <a:solidFill>
              <a:schemeClr val="dk1"/>
            </a:solidFill>
            <a:effectLst/>
            <a:latin typeface="Montserrat" panose="00000500000000000000" pitchFamily="2" charset="0"/>
            <a:ea typeface="+mn-ea"/>
            <a:cs typeface="+mn-cs"/>
          </a:endParaRPr>
        </a:p>
        <a:p>
          <a:pPr rtl="0"/>
          <a:r>
            <a:rPr lang="en-US" sz="1100" b="1" i="0" baseline="0">
              <a:solidFill>
                <a:schemeClr val="dk1"/>
              </a:solidFill>
              <a:effectLst/>
              <a:latin typeface="Montserrat" panose="00000500000000000000" pitchFamily="2" charset="0"/>
              <a:ea typeface="+mn-ea"/>
              <a:cs typeface="+mn-cs"/>
            </a:rPr>
            <a:t>Known escapes (%) </a:t>
          </a:r>
          <a:r>
            <a:rPr lang="en-GB" sz="1100" b="0">
              <a:solidFill>
                <a:schemeClr val="dk1"/>
              </a:solidFill>
              <a:effectLst/>
              <a:latin typeface="Montserrat" panose="00000500000000000000" pitchFamily="2" charset="0"/>
              <a:ea typeface="+mn-ea"/>
              <a:cs typeface="+mn-cs"/>
            </a:rPr>
            <a:t>(Calculated field)</a:t>
          </a:r>
          <a:endParaRPr lang="en-NL">
            <a:effectLst/>
            <a:latin typeface="Montserrat" panose="00000500000000000000" pitchFamily="2" charset="0"/>
          </a:endParaRPr>
        </a:p>
        <a:p>
          <a:pPr rtl="0"/>
          <a:r>
            <a:rPr lang="en-US">
              <a:effectLst/>
              <a:latin typeface="Montserrat" panose="00000500000000000000" pitchFamily="2" charset="0"/>
            </a:rPr>
            <a:t>The known escapes (%) is the number of escapees per species per site as a percentage of the stocking count and is automatically calculated as follows: </a:t>
          </a:r>
        </a:p>
        <a:p>
          <a:pPr rtl="0"/>
          <a:endParaRPr lang="en-US" sz="1100" b="0" i="1" baseline="0">
            <a:solidFill>
              <a:schemeClr val="dk1"/>
            </a:solidFill>
            <a:effectLst/>
            <a:latin typeface="Montserrat" panose="00000500000000000000" pitchFamily="2" charset="0"/>
            <a:ea typeface="+mn-ea"/>
            <a:cs typeface="+mn-cs"/>
          </a:endParaRPr>
        </a:p>
        <a:p>
          <a:pPr rtl="0"/>
          <a:r>
            <a:rPr lang="en-US" sz="1100" b="0" i="1" baseline="0">
              <a:solidFill>
                <a:schemeClr val="dk1"/>
              </a:solidFill>
              <a:effectLst/>
              <a:latin typeface="Montserrat" panose="00000500000000000000" pitchFamily="2" charset="0"/>
              <a:ea typeface="+mn-ea"/>
              <a:cs typeface="+mn-cs"/>
            </a:rPr>
            <a:t>	Known escapes (%) = known escapes (# animals) / (standing stock </a:t>
          </a:r>
          <a:r>
            <a:rPr lang="en-US" sz="1100" b="0" i="1" baseline="-25000">
              <a:solidFill>
                <a:schemeClr val="dk1"/>
              </a:solidFill>
              <a:effectLst/>
              <a:latin typeface="Montserrat" panose="00000500000000000000" pitchFamily="2" charset="0"/>
              <a:ea typeface="+mn-ea"/>
              <a:cs typeface="+mn-cs"/>
            </a:rPr>
            <a:t>start of yr</a:t>
          </a:r>
          <a:r>
            <a:rPr lang="en-US" sz="1100" b="0" i="1" baseline="0">
              <a:solidFill>
                <a:schemeClr val="dk1"/>
              </a:solidFill>
              <a:effectLst/>
              <a:latin typeface="Montserrat" panose="00000500000000000000" pitchFamily="2" charset="0"/>
              <a:ea typeface="+mn-ea"/>
              <a:cs typeface="+mn-cs"/>
            </a:rPr>
            <a:t> (# animals) + stocking count </a:t>
          </a:r>
          <a:r>
            <a:rPr lang="en-US" sz="1100" b="0" i="1" baseline="-25000">
              <a:solidFill>
                <a:schemeClr val="dk1"/>
              </a:solidFill>
              <a:effectLst/>
              <a:latin typeface="Montserrat" panose="00000500000000000000" pitchFamily="2" charset="0"/>
              <a:ea typeface="+mn-ea"/>
              <a:cs typeface="+mn-cs"/>
            </a:rPr>
            <a:t>during the yr </a:t>
          </a:r>
          <a:r>
            <a:rPr lang="en-US" sz="1100" b="0" i="1" baseline="0">
              <a:solidFill>
                <a:schemeClr val="dk1"/>
              </a:solidFill>
              <a:effectLst/>
              <a:latin typeface="Montserrat" panose="00000500000000000000" pitchFamily="2" charset="0"/>
              <a:ea typeface="+mn-ea"/>
              <a:cs typeface="+mn-cs"/>
            </a:rPr>
            <a:t>(# animals)) * 100</a:t>
          </a:r>
        </a:p>
        <a:p>
          <a:pPr rtl="0"/>
          <a:endParaRPr lang="en-US" sz="1100" b="0" i="1" baseline="0">
            <a:solidFill>
              <a:schemeClr val="dk1"/>
            </a:solidFill>
            <a:effectLst/>
            <a:latin typeface="Montserrat" panose="00000500000000000000" pitchFamily="2" charset="0"/>
            <a:ea typeface="+mn-ea"/>
            <a:cs typeface="+mn-cs"/>
          </a:endParaRPr>
        </a:p>
        <a:p>
          <a:pPr rtl="0"/>
          <a:endParaRPr lang="en-US" sz="1100" b="0" i="1">
            <a:solidFill>
              <a:schemeClr val="dk1"/>
            </a:solidFill>
            <a:effectLst/>
            <a:latin typeface="Montserrat" panose="00000500000000000000" pitchFamily="2" charset="0"/>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8732</xdr:colOff>
      <xdr:row>1</xdr:row>
      <xdr:rowOff>212495</xdr:rowOff>
    </xdr:from>
    <xdr:to>
      <xdr:col>24</xdr:col>
      <xdr:colOff>1</xdr:colOff>
      <xdr:row>70</xdr:row>
      <xdr:rowOff>0</xdr:rowOff>
    </xdr:to>
    <xdr:sp macro="" textlink="">
      <xdr:nvSpPr>
        <xdr:cNvPr id="5" name="TextBox 8">
          <a:extLst>
            <a:ext uri="{FF2B5EF4-FFF2-40B4-BE49-F238E27FC236}">
              <a16:creationId xmlns:a16="http://schemas.microsoft.com/office/drawing/2014/main" id="{2ACE2BBA-0E87-9A40-0A07-A50375480841}"/>
            </a:ext>
          </a:extLst>
        </xdr:cNvPr>
        <xdr:cNvSpPr txBox="1"/>
      </xdr:nvSpPr>
      <xdr:spPr>
        <a:xfrm>
          <a:off x="12391232" y="426808"/>
          <a:ext cx="7563644" cy="1433694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total free sulphide the ISE method is only allowed during the transition period of the ASC</a:t>
          </a:r>
          <a:r>
            <a:rPr lang="en-US" sz="1100" b="0" i="1" baseline="0">
              <a:solidFill>
                <a:schemeClr val="dk1"/>
              </a:solidFill>
              <a:effectLst/>
              <a:latin typeface="Montserrat" pitchFamily="2" charset="0"/>
              <a:ea typeface="+mn-ea"/>
              <a:cs typeface="+mn-cs"/>
            </a:rPr>
            <a:t> </a:t>
          </a:r>
          <a:r>
            <a:rPr lang="en-US" sz="1100" b="0" i="1">
              <a:solidFill>
                <a:schemeClr val="dk1"/>
              </a:solidFill>
              <a:effectLst/>
              <a:latin typeface="Montserrat" pitchFamily="2" charset="0"/>
              <a:ea typeface="+mn-ea"/>
              <a:cs typeface="+mn-cs"/>
            </a:rPr>
            <a:t>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date when the sampling occurred. </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(select)</a:t>
          </a:r>
          <a:r>
            <a:rPr lang="en-GB" sz="1100" b="1"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Select the total free sulphide method used using the dropdown menu. The Redox potential is</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 automatically populated. </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Indicates the EQS sampling zone where the sample is taken.</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b="0" i="0">
              <a:solidFill>
                <a:schemeClr val="dk1"/>
              </a:solidFill>
              <a:effectLst/>
              <a:latin typeface="Montserrat" pitchFamily="2" charset="0"/>
              <a:ea typeface="+mn-ea"/>
              <a:cs typeface="+mn-cs"/>
            </a:rPr>
            <a:t>benthic s</a:t>
          </a:r>
          <a:r>
            <a:rPr lang="en-US" sz="1100">
              <a:solidFill>
                <a:schemeClr val="dk1"/>
              </a:solidFill>
              <a:effectLst/>
              <a:latin typeface="Montserrat" pitchFamily="2" charset="0"/>
              <a:ea typeface="+mn-ea"/>
              <a:cs typeface="+mn-cs"/>
            </a:rPr>
            <a:t>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thresholds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the methodology of</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7.2.2 of ASC Farm Standard.</a:t>
          </a:r>
          <a:endParaRPr lang="en-NL" sz="1100">
            <a:latin typeface="Montserrat"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12</xdr:col>
      <xdr:colOff>11042</xdr:colOff>
      <xdr:row>2</xdr:row>
      <xdr:rowOff>0</xdr:rowOff>
    </xdr:from>
    <xdr:to>
      <xdr:col>24</xdr:col>
      <xdr:colOff>11708</xdr:colOff>
      <xdr:row>62</xdr:row>
      <xdr:rowOff>0</xdr:rowOff>
    </xdr:to>
    <xdr:sp macro="" textlink="">
      <xdr:nvSpPr>
        <xdr:cNvPr id="5" name="TextBox 2">
          <a:extLst>
            <a:ext uri="{FF2B5EF4-FFF2-40B4-BE49-F238E27FC236}">
              <a16:creationId xmlns:a16="http://schemas.microsoft.com/office/drawing/2014/main" id="{4F817DD0-1503-4FF1-A389-1501E87468E1}"/>
            </a:ext>
          </a:extLst>
        </xdr:cNvPr>
        <xdr:cNvSpPr txBox="1"/>
      </xdr:nvSpPr>
      <xdr:spPr>
        <a:xfrm>
          <a:off x="12869792" y="428625"/>
          <a:ext cx="7573041" cy="127754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a:t>
          </a:r>
          <a:r>
            <a:rPr lang="en-US" sz="1100" b="0">
              <a:solidFill>
                <a:schemeClr val="dk1"/>
              </a:solidFill>
              <a:effectLst/>
              <a:latin typeface="Montserrat" pitchFamily="2" charset="0"/>
              <a:ea typeface="+mn-ea"/>
              <a:cs typeface="+mn-cs"/>
            </a:rPr>
            <a:t>' benthic status. The ecological</a:t>
          </a:r>
          <a:r>
            <a:rPr lang="en-US" sz="1100" b="0" baseline="0">
              <a:solidFill>
                <a:schemeClr val="dk1"/>
              </a:solidFill>
              <a:effectLst/>
              <a:latin typeface="Montserrat" pitchFamily="2" charset="0"/>
              <a:ea typeface="+mn-ea"/>
              <a:cs typeface="+mn-cs"/>
            </a:rPr>
            <a:t> quality status (</a:t>
          </a:r>
          <a:r>
            <a:rPr lang="en-US" sz="1100" b="0">
              <a:solidFill>
                <a:schemeClr val="dk1"/>
              </a:solidFill>
              <a:effectLst/>
              <a:latin typeface="Montserrat" pitchFamily="2" charset="0"/>
              <a:ea typeface="+mn-ea"/>
              <a:cs typeface="+mn-cs"/>
            </a:rPr>
            <a:t>EQS) score and category per sampling zone for each biotic indicator (table 2), the zone EQS score and category (table 3) and finally the site-specific benthic status (table 4) are all automatically calculated based on the reported sample values in table 1.</a:t>
          </a:r>
          <a:r>
            <a:rPr lang="en-US" sz="1100" b="0" baseline="0">
              <a:solidFill>
                <a:schemeClr val="dk1"/>
              </a:solidFill>
              <a:effectLst/>
              <a:latin typeface="Montserrat" pitchFamily="2" charset="0"/>
              <a:ea typeface="+mn-ea"/>
              <a:cs typeface="+mn-cs"/>
            </a:rPr>
            <a:t> </a:t>
          </a:r>
          <a:r>
            <a:rPr lang="en-US" sz="1100" b="0">
              <a:solidFill>
                <a:schemeClr val="dk1"/>
              </a:solidFill>
              <a:effectLst/>
              <a:latin typeface="Montserrat" pitchFamily="2" charset="0"/>
              <a:ea typeface="+mn-ea"/>
              <a:cs typeface="+mn-cs"/>
            </a:rPr>
            <a:t>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endParaRPr lang="en-GB">
            <a:effectLst/>
            <a:latin typeface="Montserrat" pitchFamily="2" charset="0"/>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7.2.2 of the ASC Farm Standard.</a:t>
          </a:r>
          <a:endParaRPr lang="en-GB">
            <a:effectLst/>
            <a:latin typeface="Montserrat" pitchFamily="2" charset="0"/>
          </a:endParaRPr>
        </a:p>
        <a:p>
          <a:endParaRPr lang="en-US"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7.2.2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a:t>
          </a:r>
          <a:endParaRPr lang="en-GB">
            <a:effectLst/>
            <a:latin typeface="Montserrat"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3  and based on the methodology of Appendix 7.2.2 of the ASC Farm Standard.</a:t>
          </a:r>
          <a:endParaRPr lang="en-GB">
            <a:effectLst/>
            <a:latin typeface="Montserrat" pitchFamily="2" charset="0"/>
          </a:endParaRPr>
        </a:p>
        <a:p>
          <a:endParaRPr lang="en-US" sz="1100" b="1" u="sng">
            <a:solidFill>
              <a:schemeClr val="dk1"/>
            </a:solidFill>
            <a:effectLst/>
            <a:latin typeface="Montserrat" pitchFamily="2" charset="0"/>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7.4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a:t>
          </a:r>
          <a:r>
            <a:rPr lang="en-US" sz="1100" b="0">
              <a:solidFill>
                <a:schemeClr val="dk1"/>
              </a:solidFill>
              <a:effectLst/>
              <a:latin typeface="Montserrat" pitchFamily="2" charset="0"/>
              <a:ea typeface="+mn-ea"/>
              <a:cs typeface="+mn-cs"/>
            </a:rPr>
            <a:t>'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iof Appendix 7.1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7.4.2 </a:t>
          </a:r>
          <a:r>
            <a:rPr lang="en-US" sz="1100" b="0">
              <a:solidFill>
                <a:schemeClr val="dk1"/>
              </a:solidFill>
              <a:effectLst/>
              <a:latin typeface="Montserrat" pitchFamily="2" charset="0"/>
              <a:ea typeface="+mn-ea"/>
              <a:cs typeface="+mn-cs"/>
            </a:rPr>
            <a:t>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zonse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10432</xdr:colOff>
      <xdr:row>1</xdr:row>
      <xdr:rowOff>197756</xdr:rowOff>
    </xdr:from>
    <xdr:to>
      <xdr:col>23</xdr:col>
      <xdr:colOff>619125</xdr:colOff>
      <xdr:row>62</xdr:row>
      <xdr:rowOff>15875</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2773932" y="404131"/>
          <a:ext cx="7506381" cy="1254986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7.4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 are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7.4.2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7.4.2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7.4.2 of the ASC Farm Standard.</a:t>
          </a:r>
        </a:p>
        <a:p>
          <a:endParaRPr lang="en-US"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12</xdr:col>
      <xdr:colOff>0</xdr:colOff>
      <xdr:row>2</xdr:row>
      <xdr:rowOff>0</xdr:rowOff>
    </xdr:from>
    <xdr:to>
      <xdr:col>24</xdr:col>
      <xdr:colOff>95250</xdr:colOff>
      <xdr:row>64</xdr:row>
      <xdr:rowOff>1</xdr:rowOff>
    </xdr:to>
    <xdr:sp macro="" textlink="">
      <xdr:nvSpPr>
        <xdr:cNvPr id="7" name="TextBox 8">
          <a:extLst>
            <a:ext uri="{FF2B5EF4-FFF2-40B4-BE49-F238E27FC236}">
              <a16:creationId xmlns:a16="http://schemas.microsoft.com/office/drawing/2014/main" id="{A26858E3-89AB-4228-BDC2-DA40934F23C9}"/>
            </a:ext>
          </a:extLst>
        </xdr:cNvPr>
        <xdr:cNvSpPr txBox="1"/>
      </xdr:nvSpPr>
      <xdr:spPr>
        <a:xfrm>
          <a:off x="12894469" y="428625"/>
          <a:ext cx="7667625" cy="134302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7.3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t>
          </a:r>
          <a:r>
            <a:rPr lang="en-US" sz="1100" b="0" i="1">
              <a:solidFill>
                <a:schemeClr val="dk1"/>
              </a:solidFill>
              <a:effectLst/>
              <a:latin typeface="Montserrat" pitchFamily="2" charset="0"/>
              <a:ea typeface="+mn-ea"/>
              <a:cs typeface="+mn-cs"/>
            </a:rPr>
            <a:t>'acceptable' </a:t>
          </a:r>
          <a:r>
            <a:rPr lang="en-US" sz="1100" b="0">
              <a:solidFill>
                <a:schemeClr val="dk1"/>
              </a:solidFill>
              <a:effectLst/>
              <a:latin typeface="Montserrat" pitchFamily="2" charset="0"/>
              <a:ea typeface="+mn-ea"/>
              <a:cs typeface="+mn-cs"/>
            </a:rPr>
            <a:t>benthic status, no reporting for level 2 in table 2 is required.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a:t>
          </a:r>
          <a:r>
            <a:rPr lang="en-US" sz="1100" baseline="0">
              <a:solidFill>
                <a:schemeClr val="dk1"/>
              </a:solidFill>
              <a:effectLst/>
              <a:latin typeface="Montserrat" pitchFamily="2" charset="0"/>
              <a:ea typeface="+mn-ea"/>
              <a:cs typeface="+mn-cs"/>
            </a:rPr>
            <a:t> </a:t>
          </a:r>
          <a:r>
            <a:rPr lang="en-US" sz="1100">
              <a:solidFill>
                <a:schemeClr val="dk1"/>
              </a:solidFill>
              <a:effectLst/>
              <a:latin typeface="Montserrat" pitchFamily="2" charset="0"/>
              <a:ea typeface="+mn-ea"/>
              <a:cs typeface="+mn-cs"/>
            </a:rPr>
            <a:t>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abiotic indicator to be measured. The pH and temperature (ºC) is to be</a:t>
          </a:r>
          <a:r>
            <a:rPr lang="en-GB" sz="1100" baseline="0">
              <a:solidFill>
                <a:schemeClr val="dk1"/>
              </a:solidFill>
              <a:effectLst/>
              <a:latin typeface="Montserrat" pitchFamily="2" charset="0"/>
              <a:ea typeface="+mn-ea"/>
              <a:cs typeface="+mn-cs"/>
            </a:rPr>
            <a:t> measured in orer to calcualte the total amonia nitrogen (TAN) treshold.</a:t>
          </a:r>
          <a:endParaRPr lang="en-GB" sz="1100">
            <a:solidFill>
              <a:schemeClr val="dk1"/>
            </a:solidFill>
            <a:effectLst/>
            <a:latin typeface="Montserrat" pitchFamily="2" charset="0"/>
            <a:ea typeface="+mn-ea"/>
            <a:cs typeface="+mn-cs"/>
          </a:endParaRP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1.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Provide the value of the single measurement of each chosen abiotic indicator for sample 2. </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a:t>
          </a:r>
          <a:r>
            <a:rPr lang="en-US" sz="1100">
              <a:solidFill>
                <a:schemeClr val="dk1"/>
              </a:solidFill>
              <a:effectLst/>
              <a:latin typeface="Montserrat" pitchFamily="2" charset="0"/>
              <a:ea typeface="+mn-ea"/>
              <a:cs typeface="+mn-cs"/>
            </a:rPr>
            <a:t>' 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abiotic indicator is autopulated from table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GB" sz="1100">
              <a:solidFill>
                <a:schemeClr val="dk1"/>
              </a:solidFill>
              <a:effectLst/>
              <a:latin typeface="Montserrat" pitchFamily="2" charset="0"/>
              <a:ea typeface="+mn-ea"/>
              <a:cs typeface="+mn-cs"/>
            </a:rPr>
            <a:t>The EQS sampling zone is autopopulated from table</a:t>
          </a:r>
          <a:r>
            <a:rPr lang="en-GB" sz="1100" baseline="0">
              <a:solidFill>
                <a:schemeClr val="dk1"/>
              </a:solidFill>
              <a:effectLst/>
              <a:latin typeface="Montserrat" pitchFamily="2" charset="0"/>
              <a:ea typeface="+mn-ea"/>
              <a:cs typeface="+mn-cs"/>
            </a:rPr>
            <a:t> 1</a:t>
          </a:r>
          <a:r>
            <a:rPr lang="en-GB" sz="1100">
              <a:solidFill>
                <a:schemeClr val="dk1"/>
              </a:solidFill>
              <a:effectLst/>
              <a:latin typeface="Montserrat" pitchFamily="2" charset="0"/>
              <a:ea typeface="+mn-ea"/>
              <a:cs typeface="+mn-cs"/>
            </a:rPr>
            <a:t>.</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average indicator value per EQS sampling zone is automatically calculated from tables 1 and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category is determined based on the threshold from table 1 of Appendix 7.1 of the ASC Farm Standard.</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1 and 2 -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EQS sampling zones are autopopulated from table 1.</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endParaRPr lang="en-NL" sz="1100">
            <a:solidFill>
              <a:schemeClr val="dk1"/>
            </a:solidFill>
            <a:effectLst/>
            <a:latin typeface="Montserrat" pitchFamily="2" charset="0"/>
            <a:ea typeface="+mn-ea"/>
            <a:cs typeface="+mn-cs"/>
          </a:endParaRPr>
        </a:p>
        <a:p>
          <a:endParaRPr lang="en-US" sz="1100" b="1">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The benthic status is determined using the zone EQS categories from table 4 using the methodology of Appendix 7.3.2 of the ASC Farm Standard.</a:t>
          </a:r>
          <a:endParaRPr lang="en-NL" sz="1100">
            <a:latin typeface="Montserrat"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9671</xdr:colOff>
      <xdr:row>3</xdr:row>
      <xdr:rowOff>19236</xdr:rowOff>
    </xdr:from>
    <xdr:to>
      <xdr:col>24</xdr:col>
      <xdr:colOff>30390</xdr:colOff>
      <xdr:row>63</xdr:row>
      <xdr:rowOff>198437</xdr:rowOff>
    </xdr:to>
    <xdr:sp macro="" textlink="">
      <xdr:nvSpPr>
        <xdr:cNvPr id="7" name="TextBox 2">
          <a:extLst>
            <a:ext uri="{FF2B5EF4-FFF2-40B4-BE49-F238E27FC236}">
              <a16:creationId xmlns:a16="http://schemas.microsoft.com/office/drawing/2014/main" id="{34A8793E-D6F4-4E37-877D-52AD20F44C52}"/>
            </a:ext>
          </a:extLst>
        </xdr:cNvPr>
        <xdr:cNvSpPr txBox="1"/>
      </xdr:nvSpPr>
      <xdr:spPr>
        <a:xfrm>
          <a:off x="12638234" y="431986"/>
          <a:ext cx="7545469" cy="12442639"/>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report sampling results for monitoring level 3 and should only be filled If the monitoring level 1 and 2 results in an </a:t>
          </a:r>
          <a:r>
            <a:rPr lang="en-US" sz="1100" b="0" i="1">
              <a:solidFill>
                <a:schemeClr val="dk1"/>
              </a:solidFill>
              <a:effectLst/>
              <a:latin typeface="Montserrat" pitchFamily="2" charset="0"/>
              <a:ea typeface="+mn-ea"/>
              <a:cs typeface="+mn-cs"/>
            </a:rPr>
            <a:t>'unacceptable' </a:t>
          </a:r>
          <a:r>
            <a:rPr lang="en-US" sz="1100" b="0">
              <a:solidFill>
                <a:schemeClr val="dk1"/>
              </a:solidFill>
              <a:effectLst/>
              <a:latin typeface="Montserrat" pitchFamily="2" charset="0"/>
              <a:ea typeface="+mn-ea"/>
              <a:cs typeface="+mn-cs"/>
            </a:rPr>
            <a:t>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residual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edge of cages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cage where the sampling occurred. </a:t>
          </a:r>
          <a:r>
            <a:rPr lang="en-US" sz="1100">
              <a:solidFill>
                <a:schemeClr val="dk1"/>
              </a:solidFill>
              <a:effectLst/>
              <a:latin typeface="Montserrat" pitchFamily="2" charset="0"/>
              <a:ea typeface="+mn-ea"/>
              <a:cs typeface="+mn-cs"/>
            </a:rPr>
            <a:t>Free text is possible if distance from the cage deviates from the prescribed methodology.</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average value of the single measuremnt of eachchosen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biotic indicators</a:t>
          </a:r>
          <a:r>
            <a:rPr lang="en-GB" sz="1100" baseline="0">
              <a:solidFill>
                <a:schemeClr val="dk1"/>
              </a:solidFill>
              <a:effectLst/>
              <a:latin typeface="Montserrat" pitchFamily="2" charset="0"/>
              <a:ea typeface="+mn-ea"/>
              <a:cs typeface="+mn-cs"/>
            </a:rPr>
            <a:t> are</a:t>
          </a:r>
          <a:r>
            <a:rPr lang="en-GB" sz="1100">
              <a:solidFill>
                <a:schemeClr val="dk1"/>
              </a:solidFill>
              <a:effectLst/>
              <a:latin typeface="Montserrat" pitchFamily="2" charset="0"/>
              <a:ea typeface="+mn-ea"/>
              <a:cs typeface="+mn-cs"/>
            </a:rPr>
            <a:t> autopulated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GB" sz="1100">
              <a:solidFill>
                <a:schemeClr val="dk1"/>
              </a:solidFill>
              <a:effectLst/>
              <a:latin typeface="Montserrat" pitchFamily="2" charset="0"/>
              <a:ea typeface="+mn-ea"/>
              <a:cs typeface="+mn-cs"/>
            </a:rPr>
            <a:t>The EQS sampling zone is autopopulated from table 1.</a:t>
          </a:r>
          <a:endParaRPr lang="en-GB">
            <a:effectLst/>
            <a:latin typeface="Montserrat" pitchFamily="2" charset="0"/>
          </a:endParaRP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average indicator value per EQS sampling zone is automatically calculated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category is determined based on the threshold from table 2 of Appendix 7.1 of the ASC Farm Standard.</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Indicator EQS score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indicator EQS score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EQS sampling zonse are autopopulated from table 1.</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a:t>
          </a:r>
          <a:r>
            <a:rPr lang="en-US" sz="1100">
              <a:solidFill>
                <a:schemeClr val="dk1"/>
              </a:solidFill>
              <a:effectLst/>
              <a:latin typeface="Montserrat" pitchFamily="2" charset="0"/>
              <a:ea typeface="+mn-ea"/>
              <a:cs typeface="+mn-cs"/>
            </a:rPr>
            <a:t> (Calculated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score is determined based on methodology of Appendix 7.3.2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a:t>
          </a:r>
          <a:r>
            <a:rPr lang="en-US" sz="1100">
              <a:solidFill>
                <a:schemeClr val="dk1"/>
              </a:solidFill>
              <a:effectLst/>
              <a:latin typeface="Montserrat" pitchFamily="2" charset="0"/>
              <a:ea typeface="+mn-ea"/>
              <a:cs typeface="+mn-cs"/>
            </a:rPr>
            <a:t>(Calculated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zone EQS category is determined based on methodology of Appendix 7.3.2 of the ASC Farm Standard.</a:t>
          </a:r>
        </a:p>
        <a:p>
          <a:endParaRPr lang="en-US" sz="1100" b="1"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7.3.2 of the ASC Farm Standard.</a:t>
          </a:r>
          <a:endParaRPr lang="en-US" sz="1100" b="1" u="sng">
            <a:solidFill>
              <a:schemeClr val="dk1"/>
            </a:solidFill>
            <a:effectLst/>
            <a:latin typeface="Montserrat" pitchFamily="2" charset="0"/>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31</xdr:col>
      <xdr:colOff>0</xdr:colOff>
      <xdr:row>2</xdr:row>
      <xdr:rowOff>0</xdr:rowOff>
    </xdr:from>
    <xdr:to>
      <xdr:col>44</xdr:col>
      <xdr:colOff>22066</xdr:colOff>
      <xdr:row>100</xdr:row>
      <xdr:rowOff>0</xdr:rowOff>
    </xdr:to>
    <mc:AlternateContent xmlns:mc="http://schemas.openxmlformats.org/markup-compatibility/2006" xmlns:a14="http://schemas.microsoft.com/office/drawing/2010/main">
      <mc:Choice Requires="a14">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𝑒𝐹𝐶𝑅</m:t>
                  </m:r>
                  <m:r>
                    <a:rPr lang="en-GB" sz="1100" i="1">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𝑃𝑅𝐸</m:t>
                  </m:r>
                  <m:r>
                    <a:rPr lang="en-GB" sz="1100" i="1">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num>
                    <m:den>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den>
                  </m:f>
                  <m:r>
                    <a:rPr lang="en-GB" sz="1100" i="1">
                      <a:solidFill>
                        <a:sysClr val="windowText" lastClr="000000"/>
                      </a:solidFill>
                      <a:effectLst/>
                      <a:latin typeface="Cambria Math" panose="02040503050406030204" pitchFamily="18" charset="0"/>
                      <a:ea typeface="+mn-ea"/>
                      <a:cs typeface="+mn-cs"/>
                    </a:rPr>
                    <m:t>∗100</m:t>
                  </m:r>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14:m>
                <m:oMath xmlns:m="http://schemas.openxmlformats.org/officeDocument/2006/math">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𝑓𝑒𝑑</m:t>
                  </m:r>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en-GB" sz="1100">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1</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r>
                    <a:rPr lang="nl-NL" sz="1100" b="0" i="0">
                      <a:solidFill>
                        <a:sysClr val="windowText" lastClr="000000"/>
                      </a:solidFill>
                      <a:effectLst/>
                      <a:latin typeface="Cambria Math" panose="02040503050406030204" pitchFamily="18" charset="0"/>
                      <a:ea typeface="+mn-ea"/>
                      <a:cs typeface="+mn-cs"/>
                    </a:rPr>
                    <m:t> + </m:t>
                  </m:r>
                  <m:f>
                    <m:fPr>
                      <m:ctrlPr>
                        <a:rPr lang="en-NL" sz="1100" i="1">
                          <a:solidFill>
                            <a:sysClr val="windowText" lastClr="000000"/>
                          </a:solidFill>
                          <a:effectLst/>
                          <a:latin typeface="Cambria Math" panose="02040503050406030204" pitchFamily="18" charset="0"/>
                          <a:ea typeface="+mn-ea"/>
                          <a:cs typeface="+mn-cs"/>
                        </a:rPr>
                      </m:ctrlPr>
                    </m:fPr>
                    <m:num>
                      <m:r>
                        <a:rPr lang="en-GB" sz="1100">
                          <a:solidFill>
                            <a:sysClr val="windowText" lastClr="000000"/>
                          </a:solidFill>
                          <a:effectLst/>
                          <a:latin typeface="Cambria Math" panose="02040503050406030204" pitchFamily="18" charset="0"/>
                          <a:ea typeface="+mn-ea"/>
                          <a:cs typeface="+mn-cs"/>
                        </a:rPr>
                        <m:t>𝑓𝑒𝑒𝑑</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𝑒</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𝑡𝑜𝑛𝑛𝑒𝑠</m:t>
                          </m:r>
                        </m:e>
                      </m:d>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r>
                        <a:rPr lang="de-DE" sz="1100" b="0" i="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𝑝𝑟𝑜𝑡𝑒𝑖𝑛</m:t>
                      </m:r>
                      <m:r>
                        <a:rPr lang="en-GB" sz="1100">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a:solidFill>
                                <a:sysClr val="windowText" lastClr="000000"/>
                              </a:solidFill>
                              <a:effectLst/>
                              <a:latin typeface="Cambria Math" panose="02040503050406030204" pitchFamily="18" charset="0"/>
                              <a:ea typeface="+mn-ea"/>
                              <a:cs typeface="+mn-cs"/>
                            </a:rPr>
                            <m:t>𝑡</m:t>
                          </m:r>
                        </m:e>
                        <m:sub>
                          <m:r>
                            <a:rPr lang="en-GB" sz="1100">
                              <a:solidFill>
                                <a:sysClr val="windowText" lastClr="000000"/>
                              </a:solidFill>
                              <a:effectLst/>
                              <a:latin typeface="Cambria Math" panose="02040503050406030204" pitchFamily="18" charset="0"/>
                              <a:ea typeface="+mn-ea"/>
                              <a:cs typeface="+mn-cs"/>
                            </a:rPr>
                            <m:t>𝑡𝑦𝑝𝑒</m:t>
                          </m:r>
                          <m:r>
                            <a:rPr lang="en-GB" sz="1100">
                              <a:solidFill>
                                <a:sysClr val="windowText" lastClr="000000"/>
                              </a:solidFill>
                              <a:effectLst/>
                              <a:latin typeface="Cambria Math" panose="02040503050406030204" pitchFamily="18" charset="0"/>
                              <a:ea typeface="+mn-ea"/>
                              <a:cs typeface="+mn-cs"/>
                            </a:rPr>
                            <m:t> 2</m:t>
                          </m:r>
                        </m:sub>
                      </m:sSub>
                      <m:r>
                        <a:rPr lang="en-GB" sz="1100">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a:solidFill>
                                <a:sysClr val="windowText" lastClr="000000"/>
                              </a:solidFill>
                              <a:effectLst/>
                              <a:latin typeface="Cambria Math" panose="02040503050406030204" pitchFamily="18" charset="0"/>
                              <a:ea typeface="+mn-ea"/>
                              <a:cs typeface="+mn-cs"/>
                            </a:rPr>
                            <m:t>%</m:t>
                          </m:r>
                        </m:e>
                      </m:d>
                      <m:r>
                        <a:rPr lang="en-GB" sz="1100">
                          <a:solidFill>
                            <a:sysClr val="windowText" lastClr="000000"/>
                          </a:solidFill>
                          <a:effectLst/>
                          <a:latin typeface="Cambria Math" panose="02040503050406030204" pitchFamily="18" charset="0"/>
                          <a:ea typeface="+mn-ea"/>
                          <a:cs typeface="+mn-cs"/>
                        </a:rPr>
                        <m:t> </m:t>
                      </m:r>
                    </m:num>
                    <m:den>
                      <m:r>
                        <a:rPr lang="en-GB" sz="1100">
                          <a:solidFill>
                            <a:sysClr val="windowText" lastClr="000000"/>
                          </a:solidFill>
                          <a:effectLst/>
                          <a:latin typeface="Cambria Math" panose="02040503050406030204" pitchFamily="18" charset="0"/>
                          <a:ea typeface="+mn-ea"/>
                          <a:cs typeface="+mn-cs"/>
                        </a:rPr>
                        <m:t>100</m:t>
                      </m:r>
                    </m:den>
                  </m:f>
                </m:oMath>
              </a14:m>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𝑛𝑒𝑡</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𝑝𝑟𝑜𝑑𝑢𝑐𝑡𝑖𝑜𝑛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𝑣𝑜𝑙𝑢𝑚𝑒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𝑎𝑛𝑖𝑚𝑎𝑙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𝑝𝑟𝑜𝑡𝑒𝑖𝑛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𝑐𝑜𝑛𝑡𝑒𝑛𝑡</m:t>
                      </m:r>
                      <m:r>
                        <a:rPr lang="en-GB" sz="1100" i="1">
                          <a:solidFill>
                            <a:sysClr val="windowText" lastClr="000000"/>
                          </a:solidFill>
                          <a:effectLst/>
                          <a:latin typeface="Cambria Math" panose="02040503050406030204" pitchFamily="18" charset="0"/>
                          <a:ea typeface="+mn-ea"/>
                          <a:cs typeface="+mn-cs"/>
                        </a:rPr>
                        <m:t> (%)</m:t>
                      </m:r>
                    </m:num>
                    <m:den>
                      <m:r>
                        <a:rPr lang="en-GB" sz="1100" i="1">
                          <a:solidFill>
                            <a:sysClr val="windowText" lastClr="000000"/>
                          </a:solidFill>
                          <a:effectLst/>
                          <a:latin typeface="Cambria Math" panose="02040503050406030204" pitchFamily="18" charset="0"/>
                          <a:ea typeface="+mn-ea"/>
                          <a:cs typeface="+mn-cs"/>
                        </a:rPr>
                        <m:t>100</m:t>
                      </m:r>
                    </m:den>
                  </m:f>
                </m:oMath>
              </a14:m>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m:t>
                  </m:r>
                  <m:r>
                    <a:rPr lang="en-US" sz="1100" b="0" i="0">
                      <a:solidFill>
                        <a:schemeClr val="tx1"/>
                      </a:solidFill>
                      <a:effectLst/>
                      <a:latin typeface="Cambria Math" panose="02040503050406030204" pitchFamily="18" charset="0"/>
                      <a:ea typeface="+mn-ea"/>
                      <a:cs typeface="+mn-cs"/>
                    </a:rPr>
                    <m:t>𝐹</m:t>
                  </m:r>
                  <m:r>
                    <a:rPr lang="en-GB" sz="1100" b="0" i="0">
                      <a:solidFill>
                        <a:schemeClr val="tx1"/>
                      </a:solidFill>
                      <a:effectLst/>
                      <a:latin typeface="Cambria Math" panose="02040503050406030204" pitchFamily="18" charset="0"/>
                      <a:ea typeface="+mn-ea"/>
                      <a:cs typeface="+mn-cs"/>
                    </a:rPr>
                    <m:t>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𝑚</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1">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nl-NL"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𝑓𝑚</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14:m>
                <m:oMath xmlns:m="http://schemas.openxmlformats.org/officeDocument/2006/math">
                  <m:r>
                    <a:rPr lang="en-GB" sz="1100" b="0" i="0">
                      <a:solidFill>
                        <a:schemeClr val="tx1"/>
                      </a:solidFill>
                      <a:effectLst/>
                      <a:latin typeface="Cambria Math" panose="02040503050406030204" pitchFamily="18" charset="0"/>
                      <a:ea typeface="+mn-ea"/>
                      <a:cs typeface="+mn-cs"/>
                    </a:rPr>
                    <m:t>𝐹𝐹𝐷</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𝑅</m:t>
                      </m:r>
                    </m:e>
                    <m:sub>
                      <m:r>
                        <a:rPr lang="en-GB" sz="1100" b="0" i="0">
                          <a:solidFill>
                            <a:schemeClr val="tx1"/>
                          </a:solidFill>
                          <a:effectLst/>
                          <a:latin typeface="Cambria Math" panose="02040503050406030204" pitchFamily="18" charset="0"/>
                          <a:ea typeface="+mn-ea"/>
                          <a:cs typeface="+mn-cs"/>
                        </a:rPr>
                        <m:t>𝑜</m:t>
                      </m:r>
                    </m:sub>
                  </m:sSub>
                  <m:r>
                    <a:rPr lang="en-GB" sz="1100" b="0" i="0">
                      <a:solidFill>
                        <a:schemeClr val="tx1"/>
                      </a:solidFill>
                      <a:effectLst/>
                      <a:latin typeface="Cambria Math" panose="02040503050406030204" pitchFamily="18" charset="0"/>
                      <a:ea typeface="+mn-ea"/>
                      <a:cs typeface="+mn-cs"/>
                    </a:rPr>
                    <m:t>=</m:t>
                  </m:r>
                  <m:f>
                    <m:fPr>
                      <m:ctrlPr>
                        <a:rPr lang="en-GB" sz="1100" b="0" i="1">
                          <a:solidFill>
                            <a:schemeClr val="tx1"/>
                          </a:solidFill>
                          <a:effectLst/>
                          <a:latin typeface="Cambria Math" panose="02040503050406030204" pitchFamily="18" charset="0"/>
                          <a:ea typeface="+mn-ea"/>
                          <a:cs typeface="+mn-cs"/>
                        </a:rPr>
                      </m:ctrlPr>
                    </m:fPr>
                    <m:num>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r>
                                <a:rPr lang="en-GB" sz="1100" b="0" i="0">
                                  <a:solidFill>
                                    <a:schemeClr val="tx1"/>
                                  </a:solidFill>
                                  <a:effectLst/>
                                  <a:latin typeface="Cambria Math" panose="02040503050406030204" pitchFamily="18" charset="0"/>
                                  <a:ea typeface="+mn-ea"/>
                                  <a:cs typeface="+mn-cs"/>
                                </a:rPr>
                                <m:t>𝑓</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1</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f>
                            <m:fPr>
                              <m:ctrlPr>
                                <a:rPr lang="en-GB" sz="1100" b="0" i="1">
                                  <a:solidFill>
                                    <a:schemeClr val="tx1"/>
                                  </a:solidFill>
                                  <a:effectLst/>
                                  <a:latin typeface="Cambria Math" panose="02040503050406030204" pitchFamily="18" charset="0"/>
                                  <a:ea typeface="+mn-ea"/>
                                  <a:cs typeface="+mn-cs"/>
                                </a:rPr>
                              </m:ctrlPr>
                            </m:fPr>
                            <m:num>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𝑐𝑜𝑛𝑡𝑒𝑛𝑡</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num>
                            <m:den>
                              <m:r>
                                <a:rPr lang="en-GB" sz="1100" b="0" i="0">
                                  <a:solidFill>
                                    <a:schemeClr val="tx1"/>
                                  </a:solidFill>
                                  <a:effectLst/>
                                  <a:latin typeface="Cambria Math" panose="02040503050406030204" pitchFamily="18" charset="0"/>
                                  <a:ea typeface="+mn-ea"/>
                                  <a:cs typeface="+mn-cs"/>
                                </a:rPr>
                                <m:t>𝑓𝑜</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𝑦𝑖𝑒𝑙</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𝑑</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 </m:t>
                              </m:r>
                              <m:d>
                                <m:dPr>
                                  <m:ctrlPr>
                                    <a:rPr lang="en-GB" sz="1100" b="0" i="1">
                                      <a:solidFill>
                                        <a:schemeClr val="tx1"/>
                                      </a:solidFill>
                                      <a:effectLst/>
                                      <a:latin typeface="Cambria Math" panose="02040503050406030204" pitchFamily="18" charset="0"/>
                                      <a:ea typeface="+mn-ea"/>
                                      <a:cs typeface="+mn-cs"/>
                                    </a:rPr>
                                  </m:ctrlPr>
                                </m:dPr>
                                <m:e>
                                  <m:r>
                                    <a:rPr lang="en-GB" sz="1100" b="0" i="0">
                                      <a:solidFill>
                                        <a:schemeClr val="tx1"/>
                                      </a:solidFill>
                                      <a:effectLst/>
                                      <a:latin typeface="Cambria Math" panose="02040503050406030204" pitchFamily="18" charset="0"/>
                                      <a:ea typeface="+mn-ea"/>
                                      <a:cs typeface="+mn-cs"/>
                                    </a:rPr>
                                    <m:t>%</m:t>
                                  </m:r>
                                </m:e>
                              </m:d>
                            </m:den>
                          </m:f>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m:t>
                          </m:r>
                          <m:sSub>
                            <m:sSubPr>
                              <m:ctrlPr>
                                <a:rPr lang="en-GB" sz="1100" b="0" i="1">
                                  <a:solidFill>
                                    <a:schemeClr val="tx1"/>
                                  </a:solidFill>
                                  <a:effectLst/>
                                  <a:latin typeface="Cambria Math" panose="02040503050406030204" pitchFamily="18" charset="0"/>
                                  <a:ea typeface="+mn-ea"/>
                                  <a:cs typeface="+mn-cs"/>
                                </a:rPr>
                              </m:ctrlPr>
                            </m:sSubPr>
                            <m:e>
                              <m:r>
                                <a:rPr lang="en-GB" sz="1100" b="0" i="0">
                                  <a:solidFill>
                                    <a:schemeClr val="tx1"/>
                                  </a:solidFill>
                                  <a:effectLst/>
                                  <a:latin typeface="Cambria Math" panose="02040503050406030204" pitchFamily="18" charset="0"/>
                                  <a:ea typeface="+mn-ea"/>
                                  <a:cs typeface="+mn-cs"/>
                                </a:rPr>
                                <m:t>𝑒</m:t>
                              </m:r>
                            </m:e>
                            <m:sub>
                              <m:r>
                                <a:rPr lang="en-GB" sz="1100" b="0" i="0">
                                  <a:solidFill>
                                    <a:schemeClr val="tx1"/>
                                  </a:solidFill>
                                  <a:effectLst/>
                                  <a:latin typeface="Cambria Math" panose="02040503050406030204" pitchFamily="18" charset="0"/>
                                  <a:ea typeface="+mn-ea"/>
                                  <a:cs typeface="+mn-cs"/>
                                </a:rPr>
                                <m:t>𝑡𝑦𝑝𝑒</m:t>
                              </m:r>
                              <m:r>
                                <a:rPr lang="en-GB" sz="1100" b="0" i="0">
                                  <a:solidFill>
                                    <a:schemeClr val="tx1"/>
                                  </a:solidFill>
                                  <a:effectLst/>
                                  <a:latin typeface="Cambria Math" panose="02040503050406030204" pitchFamily="18" charset="0"/>
                                  <a:ea typeface="+mn-ea"/>
                                  <a:cs typeface="+mn-cs"/>
                                </a:rPr>
                                <m:t> 2</m:t>
                              </m:r>
                            </m:sub>
                          </m:sSub>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e>
                      </m:d>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m:t>
                      </m:r>
                      <m:r>
                        <a:rPr lang="de-DE"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𝑒𝑡𝑐</m:t>
                      </m:r>
                    </m:num>
                    <m:den>
                      <m:r>
                        <a:rPr lang="en-GB" sz="1100" b="0" i="0">
                          <a:solidFill>
                            <a:schemeClr val="tx1"/>
                          </a:solidFill>
                          <a:effectLst/>
                          <a:latin typeface="Cambria Math" panose="02040503050406030204" pitchFamily="18" charset="0"/>
                          <a:ea typeface="+mn-ea"/>
                          <a:cs typeface="+mn-cs"/>
                        </a:rPr>
                        <m:t>𝑡𝑜𝑡𝑎𝑙</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𝑓𝑒𝑒𝑑</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𝑢𝑠𝑒</m:t>
                      </m:r>
                      <m:r>
                        <a:rPr lang="en-GB" sz="1100" b="0" i="0">
                          <a:solidFill>
                            <a:schemeClr val="tx1"/>
                          </a:solidFill>
                          <a:effectLst/>
                          <a:latin typeface="Cambria Math" panose="02040503050406030204" pitchFamily="18" charset="0"/>
                          <a:ea typeface="+mn-ea"/>
                          <a:cs typeface="+mn-cs"/>
                        </a:rPr>
                        <m:t> (</m:t>
                      </m:r>
                      <m:r>
                        <a:rPr lang="en-GB" sz="1100" b="0" i="0">
                          <a:solidFill>
                            <a:schemeClr val="tx1"/>
                          </a:solidFill>
                          <a:effectLst/>
                          <a:latin typeface="Cambria Math" panose="02040503050406030204" pitchFamily="18" charset="0"/>
                          <a:ea typeface="+mn-ea"/>
                          <a:cs typeface="+mn-cs"/>
                        </a:rPr>
                        <m:t>𝑡𝑜𝑛𝑛𝑒𝑠</m:t>
                      </m:r>
                      <m:r>
                        <a:rPr lang="en-GB" sz="1100" b="0" i="0">
                          <a:solidFill>
                            <a:schemeClr val="tx1"/>
                          </a:solidFill>
                          <a:effectLst/>
                          <a:latin typeface="Cambria Math" panose="02040503050406030204" pitchFamily="18" charset="0"/>
                          <a:ea typeface="+mn-ea"/>
                          <a:cs typeface="+mn-cs"/>
                        </a:rPr>
                        <m:t>)</m:t>
                      </m:r>
                    </m:den>
                  </m:f>
                  <m:r>
                    <a:rPr lang="en-GB" sz="1100" b="0" i="0">
                      <a:solidFill>
                        <a:schemeClr val="tx1"/>
                      </a:solidFill>
                      <a:effectLst/>
                      <a:latin typeface="Cambria Math" panose="02040503050406030204" pitchFamily="18" charset="0"/>
                      <a:ea typeface="+mn-ea"/>
                      <a:cs typeface="+mn-cs"/>
                    </a:rPr>
                    <m:t>∗</m:t>
                  </m:r>
                  <m:r>
                    <a:rPr lang="en-GB" sz="1100" b="0" i="0">
                      <a:solidFill>
                        <a:schemeClr val="tx1"/>
                      </a:solidFill>
                      <a:effectLst/>
                      <a:latin typeface="Cambria Math" panose="02040503050406030204" pitchFamily="18" charset="0"/>
                      <a:ea typeface="+mn-ea"/>
                      <a:cs typeface="+mn-cs"/>
                    </a:rPr>
                    <m:t>𝑒𝐹𝐶𝑅</m:t>
                  </m:r>
                </m:oMath>
              </a14:m>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𝑘𝑔</m:t>
                  </m:r>
                  <m:r>
                    <a:rPr lang="en-GB" sz="1100" i="1">
                      <a:solidFill>
                        <a:sysClr val="windowText" lastClr="000000"/>
                      </a:solidFill>
                      <a:effectLst/>
                      <a:latin typeface="Cambria Math" panose="02040503050406030204" pitchFamily="18" charset="0"/>
                      <a:ea typeface="+mn-ea"/>
                      <a:cs typeface="+mn-cs"/>
                    </a:rPr>
                    <m:t> )</m:t>
                  </m:r>
                  <m:r>
                    <a:rPr lang="en-GB" sz="1100">
                      <a:solidFill>
                        <a:sysClr val="windowText" lastClr="000000"/>
                      </a:solidFill>
                      <a:effectLst/>
                      <a:latin typeface="Cambria Math" panose="02040503050406030204" pitchFamily="18" charset="0"/>
                      <a:ea typeface="+mn-ea"/>
                      <a:cs typeface="+mn-cs"/>
                    </a:rPr>
                    <m:t>=</m:t>
                  </m:r>
                  <m:f>
                    <m:fPr>
                      <m:ctrlPr>
                        <a:rPr lang="en-NL" sz="1100" i="1">
                          <a:solidFill>
                            <a:sysClr val="windowText" lastClr="000000"/>
                          </a:solidFill>
                          <a:effectLst/>
                          <a:latin typeface="Cambria Math" panose="02040503050406030204" pitchFamily="18" charset="0"/>
                          <a:ea typeface="+mn-ea"/>
                          <a:cs typeface="+mn-cs"/>
                        </a:rPr>
                      </m:ctrlPr>
                    </m:fPr>
                    <m:num>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𝑔</m:t>
                      </m:r>
                      <m:r>
                        <a:rPr lang="en-GB" sz="1100" i="1">
                          <a:solidFill>
                            <a:sysClr val="windowText" lastClr="000000"/>
                          </a:solidFill>
                          <a:effectLst/>
                          <a:latin typeface="Cambria Math" panose="02040503050406030204" pitchFamily="18" charset="0"/>
                          <a:ea typeface="+mn-ea"/>
                          <a:cs typeface="+mn-cs"/>
                        </a:rPr>
                        <m:t>)</m:t>
                      </m:r>
                    </m:num>
                    <m:den>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𝑢𝑠𝑒</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m:t>
                      </m:r>
                      <m:r>
                        <a:rPr lang="de-DE" sz="1100" b="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1000</m:t>
                      </m:r>
                    </m:den>
                  </m:f>
                </m:oMath>
              </a14:m>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14:m>
                <m:oMath xmlns:m="http://schemas.openxmlformats.org/officeDocument/2006/math">
                  <m:r>
                    <a:rPr lang="en-GB" sz="1100" i="1">
                      <a:solidFill>
                        <a:sysClr val="windowText" lastClr="000000"/>
                      </a:solidFill>
                      <a:effectLst/>
                      <a:latin typeface="Cambria Math" panose="02040503050406030204" pitchFamily="18" charset="0"/>
                      <a:ea typeface="+mn-ea"/>
                      <a:cs typeface="+mn-cs"/>
                    </a:rPr>
                    <m:t>𝑡𝑜𝑡𝑎𝑙</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𝑖𝑛</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𝑔</m:t>
                      </m:r>
                    </m:e>
                  </m:d>
                  <m:r>
                    <a:rPr lang="en-GB" sz="1100">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𝐸𝑃𝐴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𝑎𝑛𝑑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𝐷𝐻𝐴</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𝑓𝑜</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𝑡</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𝑓𝑒𝑒𝑑</m:t>
                      </m:r>
                      <m:r>
                        <a:rPr lang="en-GB" sz="1100" i="1">
                          <a:solidFill>
                            <a:sysClr val="windowText" lastClr="000000"/>
                          </a:solidFill>
                          <a:effectLst/>
                          <a:latin typeface="Cambria Math" panose="02040503050406030204" pitchFamily="18" charset="0"/>
                          <a:ea typeface="+mn-ea"/>
                          <a:cs typeface="+mn-cs"/>
                        </a:rPr>
                        <m:t> </m:t>
                      </m:r>
                      <m:r>
                        <a:rPr lang="en-GB"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GB" sz="1100" i="1">
                              <a:solidFill>
                                <a:sysClr val="windowText" lastClr="000000"/>
                              </a:solidFill>
                              <a:effectLst/>
                              <a:latin typeface="Cambria Math" panose="02040503050406030204" pitchFamily="18" charset="0"/>
                              <a:ea typeface="+mn-ea"/>
                              <a:cs typeface="+mn-cs"/>
                            </a:rPr>
                            <m:t>𝑒</m:t>
                          </m:r>
                        </m:e>
                        <m:sub>
                          <m:r>
                            <a:rPr lang="en-GB" sz="1100" i="1">
                              <a:solidFill>
                                <a:sysClr val="windowText" lastClr="000000"/>
                              </a:solidFill>
                              <a:effectLst/>
                              <a:latin typeface="Cambria Math" panose="02040503050406030204" pitchFamily="18" charset="0"/>
                              <a:ea typeface="+mn-ea"/>
                              <a:cs typeface="+mn-cs"/>
                            </a:rPr>
                            <m:t>𝑡𝑦𝑝𝑒</m:t>
                          </m:r>
                          <m:r>
                            <a:rPr lang="en-GB"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GB" sz="1100" i="1">
                              <a:solidFill>
                                <a:sysClr val="windowText" lastClr="000000"/>
                              </a:solidFill>
                              <a:effectLst/>
                              <a:latin typeface="Cambria Math" panose="02040503050406030204" pitchFamily="18" charset="0"/>
                              <a:ea typeface="+mn-ea"/>
                              <a:cs typeface="+mn-cs"/>
                            </a:rPr>
                            <m:t>𝑡𝑜𝑛𝑛𝑒𝑠</m:t>
                          </m:r>
                        </m:e>
                      </m:d>
                      <m:r>
                        <a:rPr lang="en-GB" sz="1100" i="1">
                          <a:solidFill>
                            <a:sysClr val="windowText" lastClr="000000"/>
                          </a:solidFill>
                          <a:effectLst/>
                          <a:latin typeface="Cambria Math" panose="02040503050406030204" pitchFamily="18" charset="0"/>
                          <a:ea typeface="+mn-ea"/>
                          <a:cs typeface="+mn-cs"/>
                        </a:rPr>
                        <m:t>∗100</m:t>
                      </m:r>
                    </m:e>
                  </m:d>
                  <m:r>
                    <a:rPr lang="en-GB" sz="1100" i="1">
                      <a:solidFill>
                        <a:sysClr val="windowText" lastClr="000000"/>
                      </a:solidFill>
                      <a:effectLst/>
                      <a:latin typeface="Cambria Math" panose="02040503050406030204" pitchFamily="18" charset="0"/>
                      <a:ea typeface="+mn-ea"/>
                      <a:cs typeface="+mn-cs"/>
                    </a:rPr>
                    <m:t>+</m:t>
                  </m:r>
                  <m:r>
                    <a:rPr lang="en-GB" sz="1100" i="1">
                      <a:solidFill>
                        <a:sysClr val="windowText" lastClr="000000"/>
                      </a:solidFill>
                      <a:effectLst/>
                      <a:latin typeface="Cambria Math" panose="02040503050406030204" pitchFamily="18" charset="0"/>
                      <a:ea typeface="+mn-ea"/>
                      <a:cs typeface="+mn-cs"/>
                    </a:rPr>
                    <m:t>𝑒𝑡𝑐</m:t>
                  </m:r>
                </m:oMath>
              </a14:m>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14:m>
                <m:oMathPara xmlns:m="http://schemas.openxmlformats.org/officeDocument/2006/math">
                  <m:oMathParaPr>
                    <m:jc m:val="centerGroup"/>
                  </m:oMathParaPr>
                  <m:oMath xmlns:m="http://schemas.openxmlformats.org/officeDocument/2006/math">
                    <m:r>
                      <a:rPr lang="en-NL" sz="1100" i="1">
                        <a:solidFill>
                          <a:sysClr val="windowText" lastClr="000000"/>
                        </a:solidFill>
                        <a:effectLst/>
                        <a:latin typeface="Cambria Math" panose="02040503050406030204" pitchFamily="18" charset="0"/>
                        <a:ea typeface="+mn-ea"/>
                        <a:cs typeface="+mn-cs"/>
                      </a:rPr>
                      <m:t>𝑤𝑒𝑖𝑔𝑡h𝑒𝑑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𝑖𝑛</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𝑓𝑖𝑠h</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𝑜𝑖𝑙</m:t>
                    </m:r>
                    <m:r>
                      <a:rPr lang="en-NL" sz="1100" i="1">
                        <a:solidFill>
                          <a:sysClr val="windowText" lastClr="000000"/>
                        </a:solidFill>
                        <a:effectLst/>
                        <a:latin typeface="Cambria Math" panose="02040503050406030204" pitchFamily="18" charset="0"/>
                        <a:ea typeface="+mn-ea"/>
                        <a:cs typeface="+mn-cs"/>
                      </a:rPr>
                      <m:t> </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 </m:t>
                    </m:r>
                    <m:f>
                      <m:fPr>
                        <m:ctrlPr>
                          <a:rPr lang="en-NL" sz="1100" i="1">
                            <a:solidFill>
                              <a:sysClr val="windowText" lastClr="000000"/>
                            </a:solidFill>
                            <a:effectLst/>
                            <a:latin typeface="Cambria Math" panose="02040503050406030204" pitchFamily="18" charset="0"/>
                            <a:ea typeface="+mn-ea"/>
                            <a:cs typeface="+mn-cs"/>
                          </a:rPr>
                        </m:ctrlPr>
                      </m:fPr>
                      <m:num>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1</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𝐸𝑃𝐴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𝑎𝑛𝑑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𝐷𝐻𝐴</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𝑐𝑜𝑛𝑡𝑒𝑛</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𝑡</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m:t>
                                </m:r>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m:t>
                            </m:r>
                            <m:sSub>
                              <m:sSubPr>
                                <m:ctrlPr>
                                  <a:rPr lang="en-NL" sz="1100" i="1">
                                    <a:solidFill>
                                      <a:sysClr val="windowText" lastClr="000000"/>
                                    </a:solidFill>
                                    <a:effectLst/>
                                    <a:latin typeface="Cambria Math" panose="02040503050406030204" pitchFamily="18" charset="0"/>
                                    <a:ea typeface="+mn-ea"/>
                                    <a:cs typeface="+mn-cs"/>
                                  </a:rPr>
                                </m:ctrlPr>
                              </m:sSubPr>
                              <m:e>
                                <m:r>
                                  <a:rPr lang="en-NL" sz="1100" i="1">
                                    <a:solidFill>
                                      <a:sysClr val="windowText" lastClr="000000"/>
                                    </a:solidFill>
                                    <a:effectLst/>
                                    <a:latin typeface="Cambria Math" panose="02040503050406030204" pitchFamily="18" charset="0"/>
                                    <a:ea typeface="+mn-ea"/>
                                    <a:cs typeface="+mn-cs"/>
                                  </a:rPr>
                                  <m:t>𝑒</m:t>
                                </m:r>
                              </m:e>
                              <m:sub>
                                <m:r>
                                  <a:rPr lang="en-NL" sz="1100" i="1">
                                    <a:solidFill>
                                      <a:sysClr val="windowText" lastClr="000000"/>
                                    </a:solidFill>
                                    <a:effectLst/>
                                    <a:latin typeface="Cambria Math" panose="02040503050406030204" pitchFamily="18" charset="0"/>
                                    <a:ea typeface="+mn-ea"/>
                                    <a:cs typeface="+mn-cs"/>
                                  </a:rPr>
                                  <m:t>𝑡𝑦𝑝𝑒</m:t>
                                </m:r>
                                <m:r>
                                  <a:rPr lang="en-NL" sz="1100" i="1">
                                    <a:solidFill>
                                      <a:sysClr val="windowText" lastClr="000000"/>
                                    </a:solidFill>
                                    <a:effectLst/>
                                    <a:latin typeface="Cambria Math" panose="02040503050406030204" pitchFamily="18" charset="0"/>
                                    <a:ea typeface="+mn-ea"/>
                                    <a:cs typeface="+mn-cs"/>
                                  </a:rPr>
                                  <m:t> 2</m:t>
                                </m:r>
                              </m:sub>
                            </m:sSub>
                            <m:d>
                              <m:dPr>
                                <m:ctrlPr>
                                  <a:rPr lang="en-NL" sz="1100" i="1">
                                    <a:solidFill>
                                      <a:sysClr val="windowText" lastClr="000000"/>
                                    </a:solidFill>
                                    <a:effectLst/>
                                    <a:latin typeface="Cambria Math" panose="02040503050406030204" pitchFamily="18" charset="0"/>
                                    <a:ea typeface="+mn-ea"/>
                                    <a:cs typeface="+mn-cs"/>
                                  </a:rPr>
                                </m:ctrlPr>
                              </m:dPr>
                              <m:e>
                                <m:r>
                                  <a:rPr lang="en-NL" sz="1100" i="1">
                                    <a:solidFill>
                                      <a:sysClr val="windowText" lastClr="000000"/>
                                    </a:solidFill>
                                    <a:effectLst/>
                                    <a:latin typeface="Cambria Math" panose="02040503050406030204" pitchFamily="18" charset="0"/>
                                    <a:ea typeface="+mn-ea"/>
                                    <a:cs typeface="+mn-cs"/>
                                  </a:rPr>
                                  <m:t>𝑡𝑜𝑛𝑛𝑒𝑠</m:t>
                                </m:r>
                              </m:e>
                            </m:d>
                          </m:e>
                        </m:d>
                        <m:r>
                          <a:rPr lang="en-NL" sz="1100" i="1">
                            <a:solidFill>
                              <a:sysClr val="windowText" lastClr="000000"/>
                            </a:solidFill>
                            <a:effectLst/>
                            <a:latin typeface="Cambria Math" panose="02040503050406030204" pitchFamily="18" charset="0"/>
                            <a:ea typeface="+mn-ea"/>
                            <a:cs typeface="+mn-cs"/>
                          </a:rPr>
                          <m:t>+</m:t>
                        </m:r>
                        <m:r>
                          <a:rPr lang="en-NL" sz="1100" i="1">
                            <a:solidFill>
                              <a:sysClr val="windowText" lastClr="000000"/>
                            </a:solidFill>
                            <a:effectLst/>
                            <a:latin typeface="Cambria Math" panose="02040503050406030204" pitchFamily="18" charset="0"/>
                            <a:ea typeface="+mn-ea"/>
                            <a:cs typeface="+mn-cs"/>
                          </a:rPr>
                          <m:t>𝑒𝑡𝑐</m:t>
                        </m:r>
                      </m:num>
                      <m:den>
                        <m:r>
                          <a:rPr lang="en-NL" sz="1100" i="1">
                            <a:solidFill>
                              <a:sysClr val="windowText" lastClr="000000"/>
                            </a:solidFill>
                            <a:effectLst/>
                            <a:latin typeface="Cambria Math" panose="02040503050406030204" pitchFamily="18" charset="0"/>
                            <a:ea typeface="+mn-ea"/>
                            <a:cs typeface="+mn-cs"/>
                          </a:rPr>
                          <m:t>𝑡𝑜𝑡𝑎𝑙</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𝑓𝑒𝑒𝑑</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𝑢𝑠𝑒</m:t>
                        </m:r>
                        <m:r>
                          <a:rPr lang="en-NL" sz="1100" i="1">
                            <a:solidFill>
                              <a:sysClr val="windowText" lastClr="000000"/>
                            </a:solidFill>
                            <a:effectLst/>
                            <a:latin typeface="Cambria Math" panose="02040503050406030204" pitchFamily="18" charset="0"/>
                            <a:ea typeface="+mn-ea"/>
                            <a:cs typeface="+mn-cs"/>
                          </a:rPr>
                          <m:t> (</m:t>
                        </m:r>
                        <m:r>
                          <a:rPr lang="en-NL" sz="1100" i="1">
                            <a:solidFill>
                              <a:sysClr val="windowText" lastClr="000000"/>
                            </a:solidFill>
                            <a:effectLst/>
                            <a:latin typeface="Cambria Math" panose="02040503050406030204" pitchFamily="18" charset="0"/>
                            <a:ea typeface="+mn-ea"/>
                            <a:cs typeface="+mn-cs"/>
                          </a:rPr>
                          <m:t>𝑡𝑜𝑛𝑛𝑒𝑠</m:t>
                        </m:r>
                        <m:r>
                          <a:rPr lang="en-US" sz="1100" b="0" i="1">
                            <a:solidFill>
                              <a:sysClr val="windowText" lastClr="000000"/>
                            </a:solidFill>
                            <a:effectLst/>
                            <a:latin typeface="Cambria Math" panose="02040503050406030204" pitchFamily="18" charset="0"/>
                            <a:ea typeface="+mn-ea"/>
                            <a:cs typeface="+mn-cs"/>
                          </a:rPr>
                          <m:t>)</m:t>
                        </m:r>
                      </m:den>
                    </m:f>
                  </m:oMath>
                </m:oMathPara>
              </a14:m>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Choice>
      <mc:Fallback xmlns="">
        <xdr:sp macro="" textlink="">
          <xdr:nvSpPr>
            <xdr:cNvPr id="3" name="Rectangle 2">
              <a:extLst>
                <a:ext uri="{FF2B5EF4-FFF2-40B4-BE49-F238E27FC236}">
                  <a16:creationId xmlns:a16="http://schemas.microsoft.com/office/drawing/2014/main" id="{ECC8E818-3244-48B7-A45A-E33B9A37BEB3}"/>
                </a:ext>
              </a:extLst>
            </xdr:cNvPr>
            <xdr:cNvSpPr/>
          </xdr:nvSpPr>
          <xdr:spPr>
            <a:xfrm>
              <a:off x="30781625" y="428625"/>
              <a:ext cx="8070691" cy="2854087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91440" tIns="45720" rIns="91440" bIns="45720" rtlCol="0" anchor="t">
              <a:noAutofit/>
            </a:bodyPr>
            <a:lstStyle/>
            <a:p>
              <a:r>
                <a:rPr lang="en-US" sz="1100" b="1" i="0">
                  <a:solidFill>
                    <a:schemeClr val="tx1"/>
                  </a:solidFill>
                  <a:effectLst/>
                  <a:latin typeface="Montserrat" panose="00000500000000000000" pitchFamily="2" charset="0"/>
                  <a:ea typeface="+mn-ea"/>
                  <a:cs typeface="+mn-cs"/>
                </a:rPr>
                <a:t>USER GUIDANCE</a:t>
              </a:r>
              <a:endParaRPr lang="en-US" sz="1100" b="0" i="0" baseline="0">
                <a:solidFill>
                  <a:sysClr val="windowText" lastClr="000000"/>
                </a:solidFill>
                <a:effectLst/>
                <a:latin typeface="Montserrat" panose="00000500000000000000" pitchFamily="2" charset="0"/>
                <a:ea typeface="+mn-ea"/>
                <a:cs typeface="+mn-cs"/>
              </a:endParaRPr>
            </a:p>
            <a:p>
              <a:r>
                <a:rPr lang="en-US" sz="1100" b="0" i="0" baseline="0">
                  <a:solidFill>
                    <a:sysClr val="windowText" lastClr="000000"/>
                  </a:solidFill>
                  <a:effectLst/>
                  <a:latin typeface="Montserrat" panose="00000500000000000000" pitchFamily="2" charset="0"/>
                  <a:ea typeface="+mn-ea"/>
                  <a:cs typeface="+mn-cs"/>
                </a:rPr>
                <a:t>Report in table 2 the feed use of each feed type listed in table 1, during the production period of each species at the </a:t>
              </a:r>
              <a:r>
                <a:rPr lang="en-US" sz="1100" b="0" i="0">
                  <a:solidFill>
                    <a:sysClr val="windowText" lastClr="000000"/>
                  </a:solidFill>
                  <a:effectLst/>
                  <a:latin typeface="Montserrat" panose="00000500000000000000" pitchFamily="2" charset="0"/>
                  <a:ea typeface="+mn-ea"/>
                  <a:cs typeface="+mn-cs"/>
                </a:rPr>
                <a:t>ASC</a:t>
              </a:r>
              <a:r>
                <a:rPr lang="en-US" sz="1100" b="0" i="0" baseline="0">
                  <a:solidFill>
                    <a:sysClr val="windowText" lastClr="000000"/>
                  </a:solidFill>
                  <a:effectLst/>
                  <a:latin typeface="Montserrat" panose="00000500000000000000" pitchFamily="2" charset="0"/>
                  <a:ea typeface="+mn-ea"/>
                  <a:cs typeface="+mn-cs"/>
                </a:rPr>
                <a:t> </a:t>
              </a:r>
              <a:r>
                <a:rPr lang="en-US" sz="1100" b="0" i="1" baseline="0">
                  <a:solidFill>
                    <a:sysClr val="windowText" lastClr="000000"/>
                  </a:solidFill>
                  <a:effectLst/>
                  <a:latin typeface="Montserrat" panose="00000500000000000000" pitchFamily="2" charset="0"/>
                  <a:ea typeface="+mn-ea"/>
                  <a:cs typeface="+mn-cs"/>
                </a:rPr>
                <a:t>certified</a:t>
              </a:r>
              <a:r>
                <a:rPr lang="en-US" sz="1100" b="0" i="0" baseline="0">
                  <a:solidFill>
                    <a:sysClr val="windowText" lastClr="000000"/>
                  </a:solidFill>
                  <a:effectLst/>
                  <a:latin typeface="Montserrat" panose="00000500000000000000" pitchFamily="2" charset="0"/>
                  <a:ea typeface="+mn-ea"/>
                  <a:cs typeface="+mn-cs"/>
                </a:rPr>
                <a:t> or </a:t>
              </a:r>
              <a:r>
                <a:rPr lang="en-US" sz="1100" b="0" i="1" baseline="0">
                  <a:solidFill>
                    <a:sysClr val="windowText" lastClr="000000"/>
                  </a:solidFill>
                  <a:effectLst/>
                  <a:latin typeface="Montserrat" panose="00000500000000000000" pitchFamily="2" charset="0"/>
                  <a:ea typeface="+mn-ea"/>
                  <a:cs typeface="+mn-cs"/>
                </a:rPr>
                <a:t>suspended</a:t>
              </a:r>
              <a:r>
                <a:rPr lang="en-US" sz="1100" b="0" i="0" baseline="0">
                  <a:solidFill>
                    <a:sysClr val="windowText" lastClr="000000"/>
                  </a:solidFill>
                  <a:effectLst/>
                  <a:latin typeface="Montserrat" panose="00000500000000000000" pitchFamily="2" charset="0"/>
                  <a:ea typeface="+mn-ea"/>
                  <a:cs typeface="+mn-cs"/>
                </a:rPr>
                <a:t> farm site. </a:t>
              </a:r>
              <a:r>
                <a:rPr lang="en-US" sz="1100" b="0" i="0">
                  <a:solidFill>
                    <a:sysClr val="windowText" lastClr="000000"/>
                  </a:solidFill>
                  <a:effectLst/>
                  <a:latin typeface="Montserrat" panose="00000500000000000000" pitchFamily="2" charset="0"/>
                  <a:ea typeface="+mn-ea"/>
                  <a:cs typeface="+mn-cs"/>
                </a:rPr>
                <a:t>Consider feed use during the indicated production</a:t>
              </a:r>
              <a:r>
                <a:rPr lang="en-US" sz="1100" b="0" i="0" baseline="0">
                  <a:solidFill>
                    <a:sysClr val="windowText" lastClr="000000"/>
                  </a:solidFill>
                  <a:effectLst/>
                  <a:latin typeface="Montserrat" panose="00000500000000000000" pitchFamily="2" charset="0"/>
                  <a:ea typeface="+mn-ea"/>
                  <a:cs typeface="+mn-cs"/>
                </a:rPr>
                <a:t> period for </a:t>
              </a:r>
              <a:r>
                <a:rPr lang="en-US" sz="1100" b="0" i="0">
                  <a:solidFill>
                    <a:sysClr val="windowText" lastClr="000000"/>
                  </a:solidFill>
                  <a:effectLst/>
                  <a:latin typeface="Montserrat" panose="00000500000000000000" pitchFamily="2" charset="0"/>
                  <a:ea typeface="+mn-ea"/>
                  <a:cs typeface="+mn-cs"/>
                </a:rPr>
                <a:t>the ASC</a:t>
              </a:r>
              <a:r>
                <a:rPr lang="en-US" sz="1100" b="0" i="0" baseline="0">
                  <a:solidFill>
                    <a:sysClr val="windowText" lastClr="000000"/>
                  </a:solidFill>
                  <a:effectLst/>
                  <a:latin typeface="Montserrat" panose="00000500000000000000" pitchFamily="2" charset="0"/>
                  <a:ea typeface="+mn-ea"/>
                  <a:cs typeface="+mn-cs"/>
                </a:rPr>
                <a:t> certified </a:t>
              </a:r>
              <a:r>
                <a:rPr lang="en-US" sz="1100" b="0" i="0" baseline="0">
                  <a:solidFill>
                    <a:schemeClr val="tx1"/>
                  </a:solidFill>
                  <a:effectLst/>
                  <a:latin typeface="Montserrat" panose="00000500000000000000" pitchFamily="2" charset="0"/>
                  <a:ea typeface="+mn-ea"/>
                  <a:cs typeface="+mn-cs"/>
                </a:rPr>
                <a:t>production volume only, as reported in 'Site and production details'.</a:t>
              </a:r>
              <a:endParaRPr lang="en-NL" sz="1100">
                <a:solidFill>
                  <a:schemeClr val="tx1"/>
                </a:solidFill>
                <a:effectLst/>
                <a:latin typeface="Montserrat" panose="00000500000000000000" pitchFamily="2" charset="0"/>
              </a:endParaRPr>
            </a:p>
            <a:p>
              <a:r>
                <a:rPr lang="en-US" sz="1100" b="0" i="0" baseline="0">
                  <a:solidFill>
                    <a:schemeClr val="tx1"/>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Report in t</a:t>
              </a:r>
              <a:r>
                <a:rPr lang="en-US" sz="1100" b="0" i="0" baseline="0">
                  <a:solidFill>
                    <a:sysClr val="windowText" lastClr="000000"/>
                  </a:solidFill>
                  <a:effectLst/>
                  <a:latin typeface="Montserrat" panose="00000500000000000000" pitchFamily="2" charset="0"/>
                  <a:ea typeface="+mn-ea"/>
                  <a:cs typeface="+mn-cs"/>
                </a:rPr>
                <a:t>able 3 the </a:t>
              </a:r>
              <a:r>
                <a:rPr lang="en-US" sz="1100" b="0" i="0">
                  <a:solidFill>
                    <a:sysClr val="windowText" lastClr="000000"/>
                  </a:solidFill>
                  <a:effectLst/>
                  <a:latin typeface="Montserrat" panose="00000500000000000000" pitchFamily="2" charset="0"/>
                  <a:ea typeface="+mn-ea"/>
                  <a:cs typeface="+mn-cs"/>
                </a:rPr>
                <a:t>crude protein content at </a:t>
              </a:r>
              <a:r>
                <a:rPr lang="en-US" sz="1100" b="0" i="0" baseline="0">
                  <a:solidFill>
                    <a:schemeClr val="tx1"/>
                  </a:solidFill>
                  <a:effectLst/>
                  <a:latin typeface="Montserrat" panose="00000500000000000000" pitchFamily="2" charset="0"/>
                  <a:ea typeface="+mn-ea"/>
                  <a:cs typeface="+mn-cs"/>
                </a:rPr>
                <a:t>harvest of each species in production.</a:t>
              </a:r>
            </a:p>
            <a:p>
              <a:endParaRPr lang="en-US" sz="1100" b="0" i="0" baseline="0">
                <a:solidFill>
                  <a:schemeClr val="tx1"/>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chemeClr val="tx1"/>
                  </a:solidFill>
                  <a:effectLst/>
                  <a:latin typeface="Montserrat" panose="00000500000000000000" pitchFamily="2" charset="0"/>
                  <a:ea typeface="+mn-ea"/>
                  <a:cs typeface="+mn-cs"/>
                </a:rPr>
                <a:t>In table 4 the weighted average feed efficiency values (based on relative feed use) are calculated per species per farm site (thus not per production cycle) over the net production volume in the reporting year using the information provided in table 1, 2 and 3, </a:t>
              </a:r>
              <a:r>
                <a:rPr lang="en-US" sz="1100" b="0" i="0" baseline="0">
                  <a:solidFill>
                    <a:sysClr val="windowText" lastClr="000000"/>
                  </a:solidFill>
                  <a:effectLst/>
                  <a:latin typeface="Montserrat" panose="00000500000000000000" pitchFamily="2" charset="0"/>
                  <a:ea typeface="+mn-ea"/>
                  <a:cs typeface="+mn-cs"/>
                </a:rPr>
                <a:t>respectively. The ASC certified net production volume is calculated from data provided in the 'Site and production details' tab.</a:t>
              </a:r>
              <a:r>
                <a:rPr lang="de-DE" sz="1100" b="0" i="0" baseline="0">
                  <a:solidFill>
                    <a:sysClr val="windowText" lastClr="000000"/>
                  </a:solidFill>
                  <a:effectLst/>
                  <a:latin typeface="Montserrat" panose="00000500000000000000" pitchFamily="2" charset="0"/>
                  <a:ea typeface="+mn-ea"/>
                  <a:cs typeface="+mn-cs"/>
                </a:rPr>
                <a:t> </a:t>
              </a:r>
              <a:r>
                <a:rPr lang="en-US" sz="1100" b="0" i="0" baseline="0">
                  <a:solidFill>
                    <a:sysClr val="windowText" lastClr="000000"/>
                  </a:solidFill>
                  <a:effectLst/>
                  <a:latin typeface="Montserrat" panose="00000500000000000000" pitchFamily="2" charset="0"/>
                  <a:ea typeface="+mn-ea"/>
                  <a:cs typeface="+mn-cs"/>
                </a:rPr>
                <a:t>The feed efficiency values that are calculated are the weighted average economic f</a:t>
              </a:r>
              <a:r>
                <a:rPr lang="en-US" sz="1100" b="0" i="0">
                  <a:solidFill>
                    <a:sysClr val="windowText" lastClr="000000"/>
                  </a:solidFill>
                  <a:effectLst/>
                  <a:latin typeface="Montserrat" panose="00000500000000000000" pitchFamily="2" charset="0"/>
                  <a:ea typeface="+mn-ea"/>
                  <a:cs typeface="+mn-cs"/>
                </a:rPr>
                <a:t>eed conversion ratio (eFCR), the protein</a:t>
              </a:r>
              <a:r>
                <a:rPr lang="en-US" sz="1100" b="0" i="0" baseline="0">
                  <a:solidFill>
                    <a:sysClr val="windowText" lastClr="000000"/>
                  </a:solidFill>
                  <a:effectLst/>
                  <a:latin typeface="Montserrat" panose="00000500000000000000" pitchFamily="2" charset="0"/>
                  <a:ea typeface="+mn-ea"/>
                  <a:cs typeface="+mn-cs"/>
                </a:rPr>
                <a:t> retention efficiency (PRE),</a:t>
              </a:r>
              <a:r>
                <a:rPr lang="en-US" sz="1100" b="0" i="0">
                  <a:solidFill>
                    <a:sysClr val="windowText" lastClr="000000"/>
                  </a:solidFill>
                  <a:effectLst/>
                  <a:latin typeface="Montserrat" panose="00000500000000000000" pitchFamily="2" charset="0"/>
                  <a:ea typeface="+mn-ea"/>
                  <a:cs typeface="+mn-cs"/>
                </a:rPr>
                <a:t> the forage fish dependency ratio for fishmeal (FFDRm) and fish oil (FFDRo) and the weighted EPA and DHA content</a:t>
              </a:r>
              <a:r>
                <a:rPr lang="en-US" sz="1100" b="0" i="0" baseline="0">
                  <a:solidFill>
                    <a:sysClr val="windowText" lastClr="000000"/>
                  </a:solidFill>
                  <a:effectLst/>
                  <a:latin typeface="Montserrat" panose="00000500000000000000" pitchFamily="2" charset="0"/>
                  <a:ea typeface="+mn-ea"/>
                  <a:cs typeface="+mn-cs"/>
                </a:rPr>
                <a:t> of feed and fish oil</a:t>
              </a:r>
              <a:r>
                <a:rPr lang="en-US" sz="1100" b="0" i="0">
                  <a:solidFill>
                    <a:sysClr val="windowText" lastClr="000000"/>
                  </a:solidFill>
                  <a:effectLst/>
                  <a:latin typeface="Montserrat" panose="00000500000000000000" pitchFamily="2" charset="0"/>
                  <a:ea typeface="+mn-ea"/>
                  <a:cs typeface="+mn-cs"/>
                </a:rPr>
                <a:t> from direct marine sources. </a:t>
              </a:r>
            </a:p>
            <a:p>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a:solidFill>
                    <a:sysClr val="windowText" lastClr="000000"/>
                  </a:solidFill>
                  <a:latin typeface="Montserrat" panose="00000500000000000000" pitchFamily="2" charset="0"/>
                  <a:cs typeface="Calibri" panose="020F0502020204030204" pitchFamily="34" charset="0"/>
                </a:rPr>
                <a:t>TABLE 1. Feed</a:t>
              </a:r>
              <a:r>
                <a:rPr lang="en-US" sz="1100" b="1" i="0" u="sng" strike="noStrike" baseline="0">
                  <a:solidFill>
                    <a:sysClr val="windowText" lastClr="000000"/>
                  </a:solidFill>
                  <a:latin typeface="Montserrat" panose="00000500000000000000" pitchFamily="2" charset="0"/>
                  <a:cs typeface="Calibri" panose="020F0502020204030204" pitchFamily="34" charset="0"/>
                </a:rPr>
                <a:t> name and properties</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Feed name </a:t>
              </a:r>
              <a:r>
                <a:rPr lang="en-US" sz="1100">
                  <a:solidFill>
                    <a:sysClr val="windowText" lastClr="000000"/>
                  </a:solidFill>
                  <a:effectLst/>
                  <a:latin typeface="Montserrat" panose="00000500000000000000" pitchFamily="2" charset="0"/>
                  <a:ea typeface="+mn-ea"/>
                  <a:cs typeface="+mn-cs"/>
                </a:rPr>
                <a:t>(Mandatory field)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here the name of each feed type that was used during the production period of concern.</a:t>
              </a:r>
            </a:p>
            <a:p>
              <a:pPr marL="0" marR="0" lvl="0" indent="0" algn="l" defTabSz="914400" eaLnBrk="1" fontAlgn="auto" latinLnBrk="0" hangingPunct="1">
                <a:lnSpc>
                  <a:spcPct val="100000"/>
                </a:lnSpc>
                <a:spcBef>
                  <a:spcPts val="0"/>
                </a:spcBef>
                <a:spcAft>
                  <a:spcPts val="0"/>
                </a:spcAft>
                <a:buClrTx/>
                <a:buSzTx/>
                <a:buFontTx/>
                <a:buNone/>
                <a:tabLst/>
                <a:defRPr/>
              </a:pPr>
              <a:endParaRPr lang="en-US" sz="110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Product ID </a:t>
              </a:r>
              <a:r>
                <a:rPr lang="en-US" sz="1100">
                  <a:solidFill>
                    <a:sysClr val="windowText" lastClr="000000"/>
                  </a:solidFill>
                  <a:effectLst/>
                  <a:latin typeface="Montserrat" panose="00000500000000000000" pitchFamily="2" charset="0"/>
                  <a:ea typeface="+mn-ea"/>
                  <a:cs typeface="+mn-cs"/>
                </a:rPr>
                <a:t>(Mandatory field, if ASC certified feed is</a:t>
              </a:r>
              <a:r>
                <a:rPr lang="en-US" sz="1100" baseline="0">
                  <a:solidFill>
                    <a:sysClr val="windowText" lastClr="000000"/>
                  </a:solidFill>
                  <a:effectLst/>
                  <a:latin typeface="Montserrat" panose="00000500000000000000" pitchFamily="2" charset="0"/>
                  <a:ea typeface="+mn-ea"/>
                  <a:cs typeface="+mn-cs"/>
                </a:rPr>
                <a:t> used)</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ASC identification number of each feed type i</a:t>
              </a:r>
              <a:r>
                <a:rPr lang="en-US" sz="1100" b="0" i="0" baseline="0">
                  <a:solidFill>
                    <a:sysClr val="windowText" lastClr="000000"/>
                  </a:solidFill>
                  <a:effectLst/>
                  <a:latin typeface="Montserrat" panose="00000500000000000000" pitchFamily="2" charset="0"/>
                  <a:ea typeface="+mn-ea"/>
                  <a:cs typeface="+mn-cs"/>
                </a:rPr>
                <a:t>n case the feed is ASC certified.</a:t>
              </a: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latin typeface="Montserrat" panose="00000500000000000000" pitchFamily="2" charset="0"/>
                  <a:cs typeface="Calibri" panose="020F0502020204030204" pitchFamily="34" charset="0"/>
                </a:rPr>
                <a:t>Fish meal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latin typeface="Montserrat" panose="00000500000000000000" pitchFamily="2" charset="0"/>
                  <a:cs typeface="Calibri" panose="020F0502020204030204" pitchFamily="34" charset="0"/>
                </a:rPr>
                <a:t>Provide the percentage of fish meal in the feed that is derived from forage fisheries. Only fishmeal derived directly from forage fisheries (e.g. anchoveta) is to be included in the FFDRm calculation. Fishmeal derived from fisheries’ by-products, such as trimmings and offal shall not be included in the FFDRm calculation. Trimmings are defined as by-products when fish are processed for human consumption or if whole fish is rejected for use in human consumption. The value should be between zero and a hundred (0-100). </a:t>
              </a:r>
            </a:p>
            <a:p>
              <a:pPr marL="0" marR="0" indent="0" algn="l">
                <a:lnSpc>
                  <a:spcPct val="100000"/>
                </a:lnSpc>
                <a:spcBef>
                  <a:spcPts val="0"/>
                </a:spcBef>
                <a:spcAft>
                  <a:spcPts val="0"/>
                </a:spcAft>
              </a:pPr>
              <a:endParaRPr lang="en-US" sz="1100" b="0" i="0" u="none" strike="noStrike" baseline="0">
                <a:solidFill>
                  <a:sysClr val="windowText" lastClr="000000"/>
                </a:solidFill>
                <a:latin typeface="Montserrat" panose="00000500000000000000" pitchFamily="2"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in feed derived from forage fisheries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percentage of fish oil in the feed that is derived from forage fisheries. Only fish oil derived directly from forage fisheries (e.g. anchoveta) is to be included in the FFDRo calculation. Fish oil derived from fisheries’ by-products, such as trimmings and offal shall not be included in the FFDRo calculation. Trimmings are defined as by-products when fish are processed for human consumption or if whole fish is rejected for use in human consumption. The value should be between zero and a hundred (0-100). </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EPA and DHA content of fish oil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per feed type the amount of EPA + DHA in the fish oil from direct fisheries. This value should be disclosed by the feed supplier. The value should be between (0-100). </a:t>
              </a:r>
            </a:p>
            <a:p>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30% EPA and DHA in fish oil;</a:t>
              </a:r>
            </a:p>
            <a:p>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20% EPA and DHA in fish oil.</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oil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Provide the fish oil yield of the fish oil in the feed. This value should be disclosed by the feed supplier. The value should be between zero and a hundred (0-100). </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In case no value is provided by the the feed supplier, the below values can be used: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Peru and Chile and Gulf of Mexico: 5% fish oil yield;</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baseline="0">
                  <a:solidFill>
                    <a:sysClr val="windowText" lastClr="000000"/>
                  </a:solidFill>
                  <a:effectLst/>
                  <a:latin typeface="Montserrat" panose="00000500000000000000" pitchFamily="2" charset="0"/>
                  <a:ea typeface="+mn-ea"/>
                  <a:cs typeface="+mn-cs"/>
                </a:rPr>
                <a:t>-  Fish oil originating from the North Atlantic (Denmark, Norway, Iceland and the UK): 7% fish oil yield.</a:t>
              </a:r>
            </a:p>
            <a:p>
              <a:r>
                <a:rPr lang="en-US" sz="1100" b="0" i="0" baseline="0">
                  <a:solidFill>
                    <a:sysClr val="windowText" lastClr="000000"/>
                  </a:solidFill>
                  <a:effectLst/>
                  <a:latin typeface="Montserrat" panose="000005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Fish meal yield per kg fish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the fish meal yield of the fish meal in the feed. This value should be disclosed by the feed supplier. 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value was provided by the feed supplier a value of 24% can be used. </a:t>
              </a:r>
            </a:p>
            <a:p>
              <a:endParaRPr lang="en-US" sz="1100" b="1" i="0" baseline="0">
                <a:solidFill>
                  <a:sysClr val="windowText" lastClr="000000"/>
                </a:solidFill>
                <a:effectLst/>
                <a:latin typeface="Montserrat" panose="000005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0" baseline="0">
                  <a:solidFill>
                    <a:sysClr val="windowText" lastClr="000000"/>
                  </a:solidFill>
                  <a:effectLst/>
                  <a:latin typeface="Montserrat" panose="00000500000000000000" pitchFamily="2" charset="0"/>
                  <a:ea typeface="+mn-ea"/>
                  <a:cs typeface="+mn-cs"/>
                </a:rPr>
                <a:t>Protein content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r>
                <a:rPr lang="en-US" sz="1100" b="0" i="0" baseline="0">
                  <a:solidFill>
                    <a:sysClr val="windowText" lastClr="000000"/>
                  </a:solidFill>
                  <a:effectLst/>
                  <a:latin typeface="Montserrat" panose="00000500000000000000" pitchFamily="2" charset="0"/>
                  <a:ea typeface="+mn-ea"/>
                  <a:cs typeface="+mn-cs"/>
                </a:rPr>
                <a:t>Provide for each feed type the protein content. Only in case where the protein content of the feed is not known, the total nitrogen content of the feed can be used to estimate the protein content.  A conversion to protein content can be made by multiplying the nitrogen (%) by 6.25. The value should be between zero and a hundred (0-100).</a:t>
              </a:r>
            </a:p>
            <a:p>
              <a:endParaRPr lang="en-US" sz="1100" b="0" i="0" baseline="0">
                <a:solidFill>
                  <a:sysClr val="windowText" lastClr="000000"/>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i="0" u="none" strike="noStrike" baseline="0">
                  <a:solidFill>
                    <a:sysClr val="windowText" lastClr="000000"/>
                  </a:solidFill>
                  <a:effectLst/>
                  <a:latin typeface="Montserrat" panose="00000500000000000000" pitchFamily="2" charset="0"/>
                  <a:ea typeface="+mn-ea"/>
                  <a:cs typeface="+mn-cs"/>
                </a:rPr>
                <a:t>GMO ingredients (%) </a:t>
              </a:r>
              <a:r>
                <a:rPr lang="en-US" sz="1100">
                  <a:solidFill>
                    <a:sysClr val="windowText" lastClr="000000"/>
                  </a:solidFill>
                  <a:effectLst/>
                  <a:latin typeface="Montserrat" panose="00000500000000000000" pitchFamily="2" charset="0"/>
                  <a:ea typeface="+mn-ea"/>
                  <a:cs typeface="+mn-cs"/>
                </a:rPr>
                <a:t>(Mandatory field</a:t>
              </a:r>
              <a:r>
                <a:rPr lang="en-US" sz="1100" baseline="0">
                  <a:solidFill>
                    <a:sysClr val="windowText" lastClr="000000"/>
                  </a:solidFill>
                  <a:effectLst/>
                  <a:latin typeface="Montserrat" panose="00000500000000000000" pitchFamily="2"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r>
                <a:rPr lang="en-US" sz="1100" b="0" i="0" u="none" strike="noStrike" baseline="0">
                  <a:solidFill>
                    <a:sysClr val="windowText" lastClr="000000"/>
                  </a:solidFill>
                  <a:effectLst/>
                  <a:latin typeface="Montserrat" panose="00000500000000000000" pitchFamily="2" charset="0"/>
                  <a:ea typeface="+mn-ea"/>
                  <a:cs typeface="+mn-cs"/>
                </a:rPr>
                <a:t>Provide for each feed type the percentage of ingredients from Genetically Modified Organisms (GMO) or macro ingredients produced from GMO. The value should be between zero and a hundred (0-100). </a:t>
              </a:r>
            </a:p>
            <a:p>
              <a:pPr marL="0" marR="0" indent="0" algn="l">
                <a:lnSpc>
                  <a:spcPct val="100000"/>
                </a:lnSpc>
                <a:spcBef>
                  <a:spcPts val="0"/>
                </a:spcBef>
                <a:spcAft>
                  <a:spcPts val="0"/>
                </a:spcAft>
              </a:pPr>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baseline="0">
                  <a:solidFill>
                    <a:sysClr val="windowText" lastClr="000000"/>
                  </a:solidFill>
                  <a:effectLst/>
                  <a:latin typeface="Montserrat" panose="00000500000000000000" pitchFamily="2" charset="0"/>
                  <a:ea typeface="+mn-ea"/>
                  <a:cs typeface="+mn-cs"/>
                </a:rPr>
                <a:t>Notes </a:t>
              </a:r>
              <a:r>
                <a:rPr lang="en-US" sz="1100" b="0" i="0" baseline="0">
                  <a:solidFill>
                    <a:sysClr val="windowText" lastClr="000000"/>
                  </a:solidFill>
                  <a:effectLst/>
                  <a:latin typeface="Montserrat" panose="00000500000000000000" pitchFamily="2" charset="0"/>
                  <a:ea typeface="+mn-ea"/>
                  <a:cs typeface="+mn-cs"/>
                </a:rPr>
                <a:t>(Voluntary field)</a:t>
              </a:r>
            </a:p>
            <a:p>
              <a:pPr marL="0" marR="0" indent="0" algn="l">
                <a:lnSpc>
                  <a:spcPct val="100000"/>
                </a:lnSpc>
                <a:spcBef>
                  <a:spcPts val="0"/>
                </a:spcBef>
                <a:spcAft>
                  <a:spcPts val="0"/>
                </a:spcAft>
              </a:pPr>
              <a:r>
                <a:rPr lang="en-US" sz="1100" b="0" i="0" baseline="0">
                  <a:solidFill>
                    <a:sysClr val="windowText" lastClr="000000"/>
                  </a:solidFill>
                  <a:effectLst/>
                  <a:latin typeface="Montserrat" panose="00000500000000000000" pitchFamily="2" charset="0"/>
                  <a:ea typeface="+mn-ea"/>
                  <a:cs typeface="+mn-cs"/>
                </a:rPr>
                <a:t>This field may be used to provide any other relevant information or clarifications.</a:t>
              </a:r>
            </a:p>
            <a:p>
              <a:pPr marL="0" marR="0" indent="0" algn="l">
                <a:lnSpc>
                  <a:spcPct val="100000"/>
                </a:lnSpc>
                <a:spcBef>
                  <a:spcPts val="0"/>
                </a:spcBef>
                <a:spcAft>
                  <a:spcPts val="0"/>
                </a:spcAft>
              </a:pPr>
              <a:endParaRPr lang="en-US" sz="1100" b="0"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rgbClr val="000000"/>
                  </a:solidFill>
                  <a:latin typeface="Montserrat" panose="00000500000000000000" pitchFamily="2" charset="0"/>
                  <a:cs typeface="Calibri" panose="020F0502020204030204" pitchFamily="34" charset="0"/>
                </a:rPr>
                <a:t>TABLE 2. Feed use reporting per species</a:t>
              </a:r>
              <a:endParaRPr lang="en-NL" sz="1100">
                <a:solidFill>
                  <a:schemeClr val="tx1"/>
                </a:solidFill>
                <a:effectLst/>
                <a:latin typeface="Montserrat" panose="00000500000000000000" pitchFamily="2" charset="0"/>
              </a:endParaRPr>
            </a:p>
            <a:p>
              <a:pPr eaLnBrk="1" fontAlgn="auto" latinLnBrk="0" hangingPunct="1"/>
              <a:r>
                <a:rPr lang="en-US" sz="1100" b="1" i="0">
                  <a:solidFill>
                    <a:schemeClr val="tx1"/>
                  </a:solidFill>
                  <a:effectLst/>
                  <a:latin typeface="Montserrat" panose="00000500000000000000" pitchFamily="2" charset="0"/>
                  <a:ea typeface="+mn-ea"/>
                  <a:cs typeface="+mn-cs"/>
                </a:rPr>
                <a:t>Species in production (select) </a:t>
              </a:r>
              <a:r>
                <a:rPr lang="en-US" sz="1100" b="0" i="0">
                  <a:solidFill>
                    <a:schemeClr val="tx1"/>
                  </a:solidFill>
                  <a:effectLst/>
                  <a:latin typeface="Montserrat" panose="00000500000000000000" pitchFamily="2" charset="0"/>
                  <a:ea typeface="+mn-ea"/>
                  <a:cs typeface="+mn-cs"/>
                </a:rPr>
                <a:t>(Mandatory field)</a:t>
              </a:r>
              <a:endParaRPr lang="en-NL" sz="1100">
                <a:solidFill>
                  <a:schemeClr val="tx1"/>
                </a:solidFill>
                <a:effectLst/>
                <a:latin typeface="Montserrat" panose="00000500000000000000" pitchFamily="2" charset="0"/>
              </a:endParaRPr>
            </a:p>
            <a:p>
              <a:r>
                <a:rPr lang="en-GB" sz="1100" b="0" baseline="0">
                  <a:solidFill>
                    <a:schemeClr val="tx1"/>
                  </a:solidFill>
                  <a:effectLst/>
                  <a:latin typeface="Montserrat" panose="00000500000000000000" pitchFamily="2" charset="0"/>
                  <a:ea typeface="+mn-ea"/>
                  <a:cs typeface="+mn-cs"/>
                </a:rPr>
                <a:t>Select the species in production feed use is reported for. The selection option is based on the species provided in the 'Site and production details' tab.</a:t>
              </a:r>
              <a:endParaRPr lang="en-NL" sz="1100">
                <a:solidFill>
                  <a:schemeClr val="tx1"/>
                </a:solidFill>
                <a:effectLst/>
                <a:latin typeface="Montserrat" panose="00000500000000000000" pitchFamily="2" charset="0"/>
              </a:endParaRPr>
            </a:p>
            <a:p>
              <a:endParaRPr lang="en-US" sz="1100" b="0"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Cycle ID (select) </a:t>
              </a:r>
              <a:r>
                <a:rPr lang="en-US" sz="1100" b="0" i="0" u="none" strike="noStrike" baseline="0">
                  <a:solidFill>
                    <a:schemeClr val="tx1"/>
                  </a:solidFill>
                  <a:latin typeface="Montserrat" panose="00000500000000000000" pitchFamily="2" charset="0"/>
                  <a:cs typeface="Calibri" panose="020F0502020204030204" pitchFamily="34" charset="0"/>
                </a:rPr>
                <a:t>(Voluntary field)</a:t>
              </a:r>
            </a:p>
            <a:p>
              <a:pPr marL="0" marR="0" indent="0" algn="l">
                <a:lnSpc>
                  <a:spcPct val="100000"/>
                </a:lnSpc>
                <a:spcBef>
                  <a:spcPts val="0"/>
                </a:spcBef>
                <a:spcAft>
                  <a:spcPts val="0"/>
                </a:spcAft>
              </a:pPr>
              <a:r>
                <a:rPr lang="en-US" sz="1100" b="0" i="0" u="none" strike="noStrike" baseline="0">
                  <a:solidFill>
                    <a:schemeClr val="tx1"/>
                  </a:solidFill>
                  <a:latin typeface="Montserrat" panose="00000500000000000000" pitchFamily="2" charset="0"/>
                  <a:cs typeface="Calibri" panose="020F0502020204030204" pitchFamily="34" charset="0"/>
                </a:rPr>
                <a:t>Select the cycle ID feed use is reported for. The selection option is based on the cycle IDs provided in the 'Site and production details' tab.</a:t>
              </a: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Feed type (select) </a:t>
              </a:r>
              <a:r>
                <a:rPr lang="en-US" sz="1100" b="0" i="0" u="none" strike="noStrike" baseline="0">
                  <a:solidFill>
                    <a:schemeClr val="tx1"/>
                  </a:solidFill>
                  <a:latin typeface="Montserrat" panose="00000500000000000000" pitchFamily="2" charset="0"/>
                  <a:cs typeface="Calibri" panose="020F0502020204030204" pitchFamily="34" charset="0"/>
                </a:rPr>
                <a:t>(Mandatory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baseline="0">
                  <a:solidFill>
                    <a:schemeClr val="tx1"/>
                  </a:solidFill>
                  <a:effectLst/>
                  <a:latin typeface="Montserrat" panose="00000500000000000000" pitchFamily="2" charset="0"/>
                  <a:ea typeface="+mn-ea"/>
                  <a:cs typeface="+mn-cs"/>
                </a:rPr>
                <a:t>Select the feed name the feed use is reported for. The selection option is based on </a:t>
              </a:r>
              <a:r>
                <a:rPr lang="en-US" sz="1100" b="0" baseline="0">
                  <a:solidFill>
                    <a:schemeClr val="tx1"/>
                  </a:solidFill>
                  <a:effectLst/>
                  <a:latin typeface="Montserrat" panose="00000500000000000000" pitchFamily="2" charset="0"/>
                  <a:ea typeface="+mn-ea"/>
                  <a:cs typeface="+mn-cs"/>
                </a:rPr>
                <a:t>feed types provided in table 1.</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Feed use (tonnes)</a:t>
              </a:r>
              <a:r>
                <a:rPr lang="en-US" sz="1100" b="0" i="0" u="none" strike="noStrike" baseline="0">
                  <a:solidFill>
                    <a:srgbClr val="000000"/>
                  </a:solidFill>
                  <a:latin typeface="Montserrat" panose="00000500000000000000" pitchFamily="2" charset="0"/>
                  <a:cs typeface="Calibri" panose="020F0502020204030204" pitchFamily="34" charset="0"/>
                </a:rPr>
                <a:t> (Mandatory field)</a:t>
              </a:r>
            </a:p>
            <a:p>
              <a:pPr marL="0" marR="0" lvl="0" indent="0" algn="l" defTabSz="914400" eaLnBrk="1" fontAlgn="auto" latinLnBrk="0" hangingPunct="1">
                <a:lnSpc>
                  <a:spcPct val="100000"/>
                </a:lnSpc>
                <a:spcBef>
                  <a:spcPts val="0"/>
                </a:spcBef>
                <a:spcAft>
                  <a:spcPts val="0"/>
                </a:spcAft>
                <a:buClrTx/>
                <a:buSzTx/>
                <a:buFontTx/>
                <a:buNone/>
                <a:tabLst/>
                <a:defRPr/>
              </a:pPr>
              <a:r>
                <a:rPr lang="en-GB" sz="1100" b="0" i="0" baseline="0">
                  <a:solidFill>
                    <a:schemeClr val="tx1"/>
                  </a:solidFill>
                  <a:effectLst/>
                  <a:latin typeface="Montserrat" panose="00000500000000000000" pitchFamily="2" charset="0"/>
                  <a:ea typeface="+mn-ea"/>
                  <a:cs typeface="+mn-cs"/>
                </a:rPr>
                <a:t>Indicate for each feed type the amount of feed used during the production period. Feed use </a:t>
              </a:r>
              <a:r>
                <a:rPr lang="en-GB" sz="1100" b="0" baseline="0">
                  <a:solidFill>
                    <a:schemeClr val="tx1"/>
                  </a:solidFill>
                  <a:effectLst/>
                  <a:latin typeface="Montserrat" panose="00000500000000000000" pitchFamily="2" charset="0"/>
                  <a:ea typeface="+mn-ea"/>
                  <a:cs typeface="+mn-cs"/>
                </a:rPr>
                <a:t>is given in metric tonnes (1 tonne = 1000kg).</a:t>
              </a:r>
            </a:p>
            <a:p>
              <a:pPr marL="0" marR="0" lvl="0" indent="0" algn="l" defTabSz="914400" eaLnBrk="1" fontAlgn="auto" latinLnBrk="0" hangingPunct="1">
                <a:lnSpc>
                  <a:spcPct val="100000"/>
                </a:lnSpc>
                <a:spcBef>
                  <a:spcPts val="0"/>
                </a:spcBef>
                <a:spcAft>
                  <a:spcPts val="0"/>
                </a:spcAft>
                <a:buClrTx/>
                <a:buSzTx/>
                <a:buFontTx/>
                <a:buNone/>
                <a:tabLst/>
                <a:defRPr/>
              </a:pPr>
              <a:endParaRPr lang="en-GB" sz="1100" b="1" baseline="0">
                <a:solidFill>
                  <a:schemeClr val="tx1"/>
                </a:solidFill>
                <a:effectLst/>
                <a:latin typeface="Montserrat" panose="00000500000000000000" pitchFamily="2" charset="0"/>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en-US" sz="1100" b="1">
                  <a:solidFill>
                    <a:schemeClr val="tx1"/>
                  </a:solidFill>
                  <a:effectLst/>
                  <a:latin typeface="Montserrat" panose="00000500000000000000" pitchFamily="2" charset="0"/>
                </a:rPr>
                <a:t>Notes </a:t>
              </a:r>
              <a:r>
                <a:rPr lang="en-US" sz="1100">
                  <a:solidFill>
                    <a:schemeClr val="tx1"/>
                  </a:solidFill>
                  <a:effectLst/>
                  <a:latin typeface="Montserrat" panose="00000500000000000000" pitchFamily="2" charset="0"/>
                </a:rPr>
                <a:t>(Voluntary field)</a:t>
              </a:r>
            </a:p>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ontserrat" panose="00000500000000000000" pitchFamily="2" charset="0"/>
                </a:rPr>
                <a:t>This field may be used to provide any other relevant information or clarifications.</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3. Species protein content</a:t>
              </a: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chemeClr val="tx1"/>
                  </a:solidFill>
                  <a:latin typeface="Montserrat" panose="00000500000000000000" pitchFamily="2" charset="0"/>
                  <a:cs typeface="Calibri" panose="020F0502020204030204" pitchFamily="34" charset="0"/>
                </a:rPr>
                <a:t>Animal protein content (%) </a:t>
              </a:r>
              <a:r>
                <a:rPr lang="en-US" sz="1100" b="0" i="0" u="none" strike="noStrike" baseline="0">
                  <a:solidFill>
                    <a:schemeClr val="tx1"/>
                  </a:solidFill>
                  <a:latin typeface="Montserrat" panose="00000500000000000000" pitchFamily="2" charset="0"/>
                  <a:cs typeface="Calibri" panose="020F0502020204030204" pitchFamily="34" charset="0"/>
                </a:rPr>
                <a:t>(Mandatory)</a:t>
              </a:r>
            </a:p>
            <a:p>
              <a:pPr marL="0" marR="0" indent="0" algn="l">
                <a:lnSpc>
                  <a:spcPct val="100000"/>
                </a:lnSpc>
                <a:spcBef>
                  <a:spcPts val="0"/>
                </a:spcBef>
                <a:spcAft>
                  <a:spcPts val="0"/>
                </a:spcAft>
              </a:pPr>
              <a:r>
                <a:rPr lang="en-US" sz="1100" b="0" i="0" u="none" strike="noStrike">
                  <a:solidFill>
                    <a:sysClr val="windowText" lastClr="000000"/>
                  </a:solidFill>
                  <a:latin typeface="Montserrat" panose="00000500000000000000" pitchFamily="2" charset="0"/>
                  <a:cs typeface="Calibri" panose="020F0502020204030204" pitchFamily="34" charset="0"/>
                </a:rPr>
                <a:t>Provide for each species in production the crude protein content of the whole animal</a:t>
              </a:r>
              <a:r>
                <a:rPr lang="en-US" sz="1100" b="0" i="0" u="none" strike="noStrike" baseline="0">
                  <a:solidFill>
                    <a:sysClr val="windowText" lastClr="000000"/>
                  </a:solidFill>
                  <a:latin typeface="Montserrat" panose="00000500000000000000" pitchFamily="2" charset="0"/>
                  <a:cs typeface="Calibri" panose="020F0502020204030204" pitchFamily="34" charset="0"/>
                </a:rPr>
                <a:t> (not only edible part) as percentage of the wet weight. </a:t>
              </a:r>
              <a:r>
                <a:rPr lang="en-US" sz="1100" b="0" i="0" baseline="0">
                  <a:solidFill>
                    <a:schemeClr val="tx1"/>
                  </a:solidFill>
                  <a:effectLst/>
                  <a:latin typeface="Montserrat" panose="00000500000000000000" pitchFamily="2" charset="0"/>
                  <a:ea typeface="+mn-ea"/>
                  <a:cs typeface="+mn-cs"/>
                </a:rPr>
                <a:t>T</a:t>
              </a:r>
              <a:r>
                <a:rPr lang="en-US" sz="1100" b="0" i="0" baseline="0">
                  <a:solidFill>
                    <a:sysClr val="windowText" lastClr="000000"/>
                  </a:solidFill>
                  <a:effectLst/>
                  <a:latin typeface="Montserrat" panose="00000500000000000000" pitchFamily="2" charset="0"/>
                  <a:ea typeface="+mn-ea"/>
                  <a:cs typeface="+mn-cs"/>
                </a:rPr>
                <a:t>he value should be between zero and a hundred (0-100). </a:t>
              </a:r>
            </a:p>
            <a:p>
              <a:r>
                <a:rPr lang="en-US" sz="1100" b="0" i="0" baseline="0">
                  <a:solidFill>
                    <a:sysClr val="windowText" lastClr="000000"/>
                  </a:solidFill>
                  <a:effectLst/>
                  <a:latin typeface="Montserrat" panose="00000500000000000000" pitchFamily="2" charset="0"/>
                  <a:ea typeface="+mn-ea"/>
                  <a:cs typeface="+mn-cs"/>
                </a:rPr>
                <a:t>In case no specific value is available a value of 21.9% for fish species and 18.6% for crustaceans can be used.</a:t>
              </a:r>
            </a:p>
            <a:p>
              <a:endParaRPr lang="en-US" sz="1100" b="0" i="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r>
                <a:rPr lang="en-US" sz="1100" b="1" i="0" u="sng" strike="noStrike" baseline="0">
                  <a:solidFill>
                    <a:schemeClr val="tx1"/>
                  </a:solidFill>
                  <a:latin typeface="Montserrat" panose="00000500000000000000" pitchFamily="2" charset="0"/>
                  <a:cs typeface="Calibri" panose="020F0502020204030204" pitchFamily="34" charset="0"/>
                </a:rPr>
                <a:t>TABLE 4. Feed efficiencies per species</a:t>
              </a:r>
              <a:endParaRPr lang="en-GB" sz="1100" b="1">
                <a:solidFill>
                  <a:schemeClr val="tx1"/>
                </a:solidFill>
                <a:effectLst/>
                <a:latin typeface="Montserrat" panose="00000500000000000000" pitchFamily="2" charset="0"/>
                <a:ea typeface="+mn-ea"/>
                <a:cs typeface="+mn-cs"/>
              </a:endParaRPr>
            </a:p>
            <a:p>
              <a:r>
                <a:rPr lang="en-GB" sz="1100" b="1">
                  <a:solidFill>
                    <a:schemeClr val="tx1"/>
                  </a:solidFill>
                  <a:effectLst/>
                  <a:latin typeface="Montserrat" panose="00000500000000000000" pitchFamily="2" charset="0"/>
                  <a:ea typeface="+mn-ea"/>
                  <a:cs typeface="+mn-cs"/>
                </a:rPr>
                <a:t>Species in production </a:t>
              </a:r>
              <a:r>
                <a:rPr lang="en-GB" sz="1100" b="0">
                  <a:solidFill>
                    <a:schemeClr val="tx1"/>
                  </a:solidFill>
                  <a:effectLst/>
                  <a:latin typeface="Montserrat" panose="00000500000000000000" pitchFamily="2" charset="0"/>
                  <a:ea typeface="+mn-ea"/>
                  <a:cs typeface="+mn-cs"/>
                </a:rPr>
                <a:t>(Autopopulated field)</a:t>
              </a:r>
            </a:p>
            <a:p>
              <a:pPr eaLnBrk="1" fontAlgn="auto" latinLnBrk="0" hangingPunct="1"/>
              <a:r>
                <a:rPr lang="en-GB" sz="1100" b="0" baseline="0">
                  <a:solidFill>
                    <a:schemeClr val="tx1"/>
                  </a:solidFill>
                  <a:effectLst/>
                  <a:latin typeface="Montserrat" panose="00000500000000000000" pitchFamily="2" charset="0"/>
                  <a:ea typeface="+mn-ea"/>
                  <a:cs typeface="+mn-cs"/>
                </a:rPr>
                <a:t>The species in production</a:t>
              </a:r>
              <a:r>
                <a:rPr lang="en-US" sz="1100" b="0" i="0">
                  <a:solidFill>
                    <a:schemeClr val="tx1"/>
                  </a:solidFill>
                  <a:effectLst/>
                  <a:latin typeface="Montserrat" panose="00000500000000000000" pitchFamily="2" charset="0"/>
                  <a:ea typeface="+mn-ea"/>
                  <a:cs typeface="+mn-cs"/>
                </a:rPr>
                <a:t> </a:t>
              </a:r>
              <a:r>
                <a:rPr lang="en-GB" sz="1100" b="0" baseline="0">
                  <a:solidFill>
                    <a:schemeClr val="tx1"/>
                  </a:solidFill>
                  <a:effectLst/>
                  <a:latin typeface="Montserrat" panose="00000500000000000000" pitchFamily="2" charset="0"/>
                  <a:ea typeface="+mn-ea"/>
                  <a:cs typeface="+mn-cs"/>
                </a:rPr>
                <a:t>is autopopulated from the 'Site and production details' tab.</a:t>
              </a:r>
              <a:endParaRPr lang="en-NL" sz="1100">
                <a:solidFill>
                  <a:schemeClr val="tx1"/>
                </a:solidFill>
                <a:effectLst/>
                <a:latin typeface="Montserrat" panose="00000500000000000000" pitchFamily="2" charset="0"/>
              </a:endParaRPr>
            </a:p>
            <a:p>
              <a:pPr marL="0" marR="0" indent="0" algn="l">
                <a:lnSpc>
                  <a:spcPct val="100000"/>
                </a:lnSpc>
                <a:spcBef>
                  <a:spcPts val="0"/>
                </a:spcBef>
                <a:spcAft>
                  <a:spcPts val="0"/>
                </a:spcAft>
              </a:pPr>
              <a:endParaRPr lang="en-US" sz="1100" b="1" i="0" u="none" strike="noStrike" baseline="0">
                <a:solidFill>
                  <a:srgbClr val="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baseline="0">
                  <a:solidFill>
                    <a:srgbClr val="000000"/>
                  </a:solidFill>
                  <a:latin typeface="Montserrat" panose="00000500000000000000" pitchFamily="2" charset="0"/>
                  <a:cs typeface="Calibri" panose="020F0502020204030204" pitchFamily="34" charset="0"/>
                </a:rPr>
                <a:t>ASC certified net production volume (tonnes) </a:t>
              </a:r>
              <a:r>
                <a:rPr lang="en-US" sz="1100" b="0" i="0" u="none" strike="noStrike" baseline="0">
                  <a:solidFill>
                    <a:srgbClr val="000000"/>
                  </a:solidFill>
                  <a:latin typeface="Montserrat" panose="00000500000000000000" pitchFamily="2" charset="0"/>
                  <a:cs typeface="Calibri" panose="020F0502020204030204" pitchFamily="34" charset="0"/>
                </a:rPr>
                <a:t>(Autopopulated field)</a:t>
              </a:r>
            </a:p>
            <a:p>
              <a:pPr eaLnBrk="1" fontAlgn="auto" latinLnBrk="0" hangingPunct="1"/>
              <a:r>
                <a:rPr lang="en-GB" sz="1100" b="0" baseline="0">
                  <a:solidFill>
                    <a:sysClr val="windowText" lastClr="000000"/>
                  </a:solidFill>
                  <a:effectLst/>
                  <a:latin typeface="Montserrat" panose="00000500000000000000" pitchFamily="2" charset="0"/>
                  <a:ea typeface="+mn-ea"/>
                  <a:cs typeface="+mn-cs"/>
                </a:rPr>
                <a:t>The </a:t>
              </a:r>
              <a:r>
                <a:rPr lang="en-US" sz="1100" b="0" i="0" baseline="0">
                  <a:solidFill>
                    <a:sysClr val="windowText" lastClr="000000"/>
                  </a:solidFill>
                  <a:effectLst/>
                  <a:latin typeface="Montserrat" panose="00000500000000000000" pitchFamily="2" charset="0"/>
                  <a:ea typeface="+mn-ea"/>
                  <a:cs typeface="+mn-cs"/>
                </a:rPr>
                <a:t>ASC certified net production volume </a:t>
              </a:r>
              <a:r>
                <a:rPr lang="en-GB" sz="1100" b="0" baseline="0">
                  <a:solidFill>
                    <a:sysClr val="windowText" lastClr="000000"/>
                  </a:solidFill>
                  <a:effectLst/>
                  <a:latin typeface="Montserrat" panose="00000500000000000000" pitchFamily="2" charset="0"/>
                  <a:ea typeface="+mn-ea"/>
                  <a:cs typeface="+mn-cs"/>
                </a:rPr>
                <a:t>is autopopulated from 'Site and production details' tab</a:t>
              </a:r>
              <a:r>
                <a:rPr lang="de-DE" sz="1100" b="0" baseline="0">
                  <a:solidFill>
                    <a:sysClr val="windowText" lastClr="000000"/>
                  </a:solidFill>
                  <a:effectLst/>
                  <a:latin typeface="Montserrat" panose="00000500000000000000" pitchFamily="2" charset="0"/>
                  <a:ea typeface="+mn-ea"/>
                  <a:cs typeface="+mn-cs"/>
                </a:rPr>
                <a:t>.</a:t>
              </a:r>
              <a:endParaRPr lang="en-US" sz="1100" b="0" baseline="0">
                <a:solidFill>
                  <a:sysClr val="windowText" lastClr="000000"/>
                </a:solidFill>
                <a:effectLst/>
                <a:latin typeface="Montserrat" panose="00000500000000000000" pitchFamily="2" charset="0"/>
                <a:ea typeface="+mn-ea"/>
                <a:cs typeface="+mn-cs"/>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r>
                <a:rPr lang="en-US" sz="1100" b="1" i="0" u="none" strike="noStrike">
                  <a:solidFill>
                    <a:schemeClr val="tx1"/>
                  </a:solidFill>
                  <a:latin typeface="Montserrat" panose="00000500000000000000" pitchFamily="2" charset="0"/>
                  <a:cs typeface="Calibri" panose="020F0502020204030204" pitchFamily="34" charset="0"/>
                </a:rPr>
                <a:t>eFCR</a:t>
              </a:r>
              <a:r>
                <a:rPr lang="en-US" sz="1100" b="0" i="0" u="none" strike="noStrike">
                  <a:solidFill>
                    <a:schemeClr val="tx1"/>
                  </a:solidFill>
                  <a:latin typeface="Montserrat" panose="00000500000000000000" pitchFamily="2" charset="0"/>
                  <a:cs typeface="Calibri" panose="020F0502020204030204" pitchFamily="34" charset="0"/>
                </a:rPr>
                <a:t> (Calculated field)</a:t>
              </a:r>
            </a:p>
            <a:p>
              <a:pPr marL="0" marR="0" indent="0" algn="l">
                <a:lnSpc>
                  <a:spcPct val="100000"/>
                </a:lnSpc>
                <a:spcBef>
                  <a:spcPts val="0"/>
                </a:spcBef>
                <a:spcAft>
                  <a:spcPts val="0"/>
                </a:spcAft>
              </a:pPr>
              <a:r>
                <a:rPr lang="en-US" sz="1100" b="0" i="0" baseline="0">
                  <a:solidFill>
                    <a:schemeClr val="tx1"/>
                  </a:solidFill>
                  <a:effectLst/>
                  <a:latin typeface="Montserrat" panose="00000500000000000000" pitchFamily="2" charset="0"/>
                  <a:ea typeface="+mn-ea"/>
                  <a:cs typeface="+mn-cs"/>
                </a:rPr>
                <a:t>The eFCR here is automatically calculated for each species and site combination as the total volume of feed used per species from table 2, divided by the net production volume and is calculated as follows:</a:t>
              </a:r>
              <a:endParaRPr lang="en-US" sz="1100" b="0" i="0" u="none" strike="noStrike">
                <a:solidFill>
                  <a:schemeClr val="tx1"/>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chemeClr val="tx1"/>
                </a:solidFill>
                <a:latin typeface="Montserrat" panose="00000500000000000000" pitchFamily="2" charset="0"/>
                <a:cs typeface="Calibri" panose="020F0502020204030204" pitchFamily="34" charset="0"/>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𝑒𝐹𝐶𝑅=</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PRE (%)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protein retention efficiency (PRE) is automatically calculated for each species and site combination. The calculations of PRE is a weighted average and takes into account differences in protein content between the used feed types</a:t>
              </a:r>
              <a:r>
                <a:rPr lang="en-US" sz="1100" b="0" i="0" baseline="0">
                  <a:solidFill>
                    <a:schemeClr val="tx1"/>
                  </a:solidFill>
                  <a:effectLst/>
                  <a:latin typeface="Montserrat" panose="00000500000000000000" pitchFamily="2" charset="0"/>
                  <a:ea typeface="+mn-ea"/>
                  <a:cs typeface="+mn-cs"/>
                </a:rPr>
                <a:t> and is calculated as follows:</a:t>
              </a:r>
              <a:endParaRPr lang="en-US" sz="1100" b="0" i="0">
                <a:solidFill>
                  <a:schemeClr val="tx1"/>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𝑃𝑅𝐸 %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the weighted protein fed is calculated taking into account the feed use and feed protein content of each feed type used and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baseline="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𝑓𝑒𝑑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nl-NL" sz="1100" b="0" i="0">
                  <a:solidFill>
                    <a:sysClr val="windowText" lastClr="000000"/>
                  </a:solidFill>
                  <a:effectLst/>
                  <a:latin typeface="Cambria Math" panose="02040503050406030204" pitchFamily="18" charset="0"/>
                  <a:ea typeface="+mn-ea"/>
                  <a:cs typeface="+mn-cs"/>
                </a:rPr>
                <a:t>  + </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𝑝𝑟𝑜𝑡𝑒𝑖𝑛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r>
                <a:rPr lang="en-US" sz="1100">
                  <a:solidFill>
                    <a:sysClr val="windowText" lastClr="000000"/>
                  </a:solidFill>
                  <a:effectLst/>
                  <a:latin typeface="Montserrat" panose="00000500000000000000" pitchFamily="2" charset="0"/>
                  <a:ea typeface="+mn-ea"/>
                  <a:cs typeface="+mn-cs"/>
                </a:rPr>
                <a:t> + etc</a:t>
              </a:r>
            </a:p>
            <a:p>
              <a:endParaRPr lang="en-US" sz="1100" b="1" i="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And</a:t>
              </a:r>
              <a:r>
                <a:rPr lang="en-GB" sz="1100" baseline="0">
                  <a:solidFill>
                    <a:sysClr val="windowText" lastClr="000000"/>
                  </a:solidFill>
                  <a:effectLst/>
                  <a:latin typeface="Montserrat" panose="00000500000000000000" pitchFamily="2" charset="0"/>
                  <a:ea typeface="+mn-ea"/>
                  <a:cs typeface="+mn-cs"/>
                </a:rPr>
                <a:t> n</a:t>
              </a:r>
              <a:r>
                <a:rPr lang="en-GB" sz="1100">
                  <a:solidFill>
                    <a:sysClr val="windowText" lastClr="000000"/>
                  </a:solidFill>
                  <a:effectLst/>
                  <a:latin typeface="Montserrat" panose="00000500000000000000" pitchFamily="2" charset="0"/>
                  <a:ea typeface="+mn-ea"/>
                  <a:cs typeface="+mn-cs"/>
                </a:rPr>
                <a:t>et animal protein content (tonnes)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𝑛𝑒𝑡 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𝑛𝑒𝑡 𝑝𝑟𝑜𝑑𝑢𝑐𝑡𝑖𝑜𝑛 𝑣𝑜𝑙𝑢𝑚𝑒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𝑎𝑛𝑖𝑚𝑎𝑙 𝑝𝑟𝑜𝑡𝑒𝑖𝑛 𝑐𝑜𝑛𝑡𝑒𝑛𝑡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100</a:t>
              </a:r>
              <a:endParaRPr lang="en-US" sz="1100" b="1" i="0">
                <a:solidFill>
                  <a:sysClr val="windowText" lastClr="000000"/>
                </a:solidFill>
                <a:effectLst/>
                <a:latin typeface="Montserrat" panose="00000500000000000000" pitchFamily="2" charset="0"/>
                <a:ea typeface="+mn-ea"/>
                <a:cs typeface="+mn-cs"/>
              </a:endParaRP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FFDRm</a:t>
              </a:r>
              <a:r>
                <a:rPr lang="en-US" sz="1100" b="0" i="0">
                  <a:solidFill>
                    <a:schemeClr val="tx1"/>
                  </a:solidFill>
                  <a:effectLst/>
                  <a:latin typeface="Montserrat" panose="00000500000000000000" pitchFamily="2" charset="0"/>
                  <a:ea typeface="+mn-ea"/>
                  <a:cs typeface="+mn-cs"/>
                </a:rPr>
                <a:t> (Calculated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FFDRm is automatically calculated for each species. The FFDRm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a:t>
              </a:r>
              <a:r>
                <a:rPr lang="en-US" sz="1100" b="0" i="0">
                  <a:solidFill>
                    <a:schemeClr val="tx1"/>
                  </a:solidFill>
                  <a:effectLst/>
                  <a:latin typeface="Cambria Math" panose="02040503050406030204" pitchFamily="18" charset="0"/>
                  <a:ea typeface="+mn-ea"/>
                  <a:cs typeface="+mn-cs"/>
                </a:rPr>
                <a:t>𝐹</a:t>
              </a:r>
              <a:r>
                <a:rPr lang="en-GB" sz="1100" b="0" i="0">
                  <a:solidFill>
                    <a:schemeClr val="tx1"/>
                  </a:solidFill>
                  <a:effectLst/>
                  <a:latin typeface="Cambria Math" panose="02040503050406030204" pitchFamily="18" charset="0"/>
                  <a:ea typeface="+mn-ea"/>
                  <a:cs typeface="+mn-cs"/>
                </a:rPr>
                <a:t>𝐷𝑅_𝑚=(((𝑓〖𝑚 𝑐𝑜𝑛𝑡𝑒𝑛𝑡〗_(𝑡𝑦𝑝𝑒 1)  (%))/(𝑓𝑚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nl-NL"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((𝑓〖𝑚 𝑐𝑜𝑛𝑡𝑒𝑛𝑡〗_(𝑡𝑦𝑝𝑒 2)  (%))/(𝑓𝑚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US" sz="1100" b="0" i="0">
                  <a:solidFill>
                    <a:schemeClr val="tx1"/>
                  </a:solidFill>
                  <a:effectLst/>
                  <a:latin typeface="Montserrat" panose="00000500000000000000" pitchFamily="2" charset="0"/>
                  <a:ea typeface="+mn-ea"/>
                  <a:cs typeface="+mn-cs"/>
                </a:rPr>
                <a:t>   </a:t>
              </a:r>
            </a:p>
            <a:p>
              <a:endParaRPr lang="en-GB" sz="1100" b="1" i="0">
                <a:solidFill>
                  <a:schemeClr val="tx1"/>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FFDRo </a:t>
              </a:r>
              <a:r>
                <a:rPr lang="en-US" sz="1100" b="0" i="0">
                  <a:solidFill>
                    <a:schemeClr val="tx1"/>
                  </a:solidFill>
                  <a:effectLst/>
                  <a:latin typeface="Montserrat" panose="00000500000000000000" pitchFamily="2" charset="0"/>
                  <a:ea typeface="+mn-ea"/>
                  <a:cs typeface="+mn-cs"/>
                </a:rPr>
                <a:t>(Calculated field)</a:t>
              </a:r>
              <a:endParaRPr lang="en-GB" sz="1100" b="0" i="0">
                <a:solidFill>
                  <a:schemeClr val="tx1"/>
                </a:solidFill>
                <a:effectLst/>
                <a:latin typeface="Montserrat" panose="00000500000000000000" pitchFamily="2" charset="0"/>
                <a:ea typeface="+mn-ea"/>
                <a:cs typeface="+mn-cs"/>
              </a:endParaRPr>
            </a:p>
            <a:p>
              <a:r>
                <a:rPr lang="en-US" sz="1100" b="0" i="0">
                  <a:solidFill>
                    <a:schemeClr val="tx1"/>
                  </a:solidFill>
                  <a:effectLst/>
                  <a:latin typeface="Montserrat" panose="00000500000000000000" pitchFamily="2" charset="0"/>
                  <a:ea typeface="+mn-ea"/>
                  <a:cs typeface="+mn-cs"/>
                </a:rPr>
                <a:t>The FFDRo is automatically calculated for each species. The FFDRo calculation is a weighted average and takes into account differences in content and yield between the used feed types and is calculated as follows:</a:t>
              </a:r>
            </a:p>
            <a:p>
              <a:endParaRPr lang="en-GB" sz="1100" b="0" i="0">
                <a:solidFill>
                  <a:schemeClr val="tx1"/>
                </a:solidFill>
                <a:effectLst/>
                <a:latin typeface="Montserrat" panose="00000500000000000000" pitchFamily="2" charset="0"/>
                <a:ea typeface="+mn-ea"/>
                <a:cs typeface="+mn-cs"/>
              </a:endParaRPr>
            </a:p>
            <a:p>
              <a:r>
                <a:rPr lang="en-GB" sz="1100" b="0">
                  <a:solidFill>
                    <a:schemeClr val="tx1"/>
                  </a:solidFill>
                  <a:effectLst/>
                  <a:latin typeface="Montserrat" pitchFamily="2" charset="0"/>
                  <a:ea typeface="+mn-ea"/>
                  <a:cs typeface="+mn-cs"/>
                </a:rPr>
                <a:t>	</a:t>
              </a:r>
              <a:r>
                <a:rPr lang="en-GB" sz="1100" b="0" i="0">
                  <a:solidFill>
                    <a:schemeClr val="tx1"/>
                  </a:solidFill>
                  <a:effectLst/>
                  <a:latin typeface="Cambria Math" panose="02040503050406030204" pitchFamily="18" charset="0"/>
                  <a:ea typeface="+mn-ea"/>
                  <a:cs typeface="+mn-cs"/>
                </a:rPr>
                <a:t>𝐹𝐹𝐷𝑅_𝑜=(((𝑓〖𝑜 𝑐𝑜𝑛𝑡𝑒𝑛𝑡〗_(𝑡𝑦𝑝𝑒 1)  (%))/(𝑓𝑜 𝑦𝑖𝑒𝑙𝑑_(𝑡𝑦𝑝𝑒 1)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1)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((〖𝑓𝑜 𝑐𝑜𝑛𝑡𝑒𝑛𝑡〗_(𝑡𝑦𝑝𝑒 2)  (%))/(𝑓𝑜 𝑦𝑖𝑒𝑙𝑑_(𝑡𝑦𝑝𝑒 2)  (%) )</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𝑓𝑒𝑒𝑑 𝑢𝑠𝑒_(𝑡𝑦𝑝𝑒 2) (𝑡𝑜𝑛𝑛𝑒𝑠))</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a:t>
              </a:r>
              <a:r>
                <a:rPr lang="de-DE" sz="1100" b="0" i="0">
                  <a:solidFill>
                    <a:schemeClr val="tx1"/>
                  </a:solidFill>
                  <a:effectLst/>
                  <a:latin typeface="Cambria Math" panose="02040503050406030204" pitchFamily="18" charset="0"/>
                  <a:ea typeface="+mn-ea"/>
                  <a:cs typeface="+mn-cs"/>
                </a:rPr>
                <a:t> </a:t>
              </a:r>
              <a:r>
                <a:rPr lang="en-GB" sz="1100" b="0" i="0">
                  <a:solidFill>
                    <a:schemeClr val="tx1"/>
                  </a:solidFill>
                  <a:effectLst/>
                  <a:latin typeface="Cambria Math" panose="02040503050406030204" pitchFamily="18" charset="0"/>
                  <a:ea typeface="+mn-ea"/>
                  <a:cs typeface="+mn-cs"/>
                </a:rPr>
                <a:t>𝑒𝑡𝑐)/(𝑡𝑜𝑡𝑎𝑙 𝑓𝑒𝑒𝑑 𝑢𝑠𝑒 (𝑡𝑜𝑛𝑛𝑒𝑠))∗𝑒𝐹𝐶𝑅</a:t>
              </a:r>
              <a:r>
                <a:rPr lang="en-GB" sz="1100" b="0" i="0">
                  <a:solidFill>
                    <a:schemeClr val="tx1"/>
                  </a:solidFill>
                  <a:effectLst/>
                  <a:latin typeface="Montserrat" panose="00000500000000000000" pitchFamily="2" charset="0"/>
                  <a:ea typeface="+mn-ea"/>
                  <a:cs typeface="+mn-cs"/>
                </a:rPr>
                <a:t> </a:t>
              </a:r>
            </a:p>
            <a:p>
              <a:endParaRPr lang="en-US" sz="1100" b="1" i="0">
                <a:solidFill>
                  <a:sysClr val="windowText" lastClr="000000"/>
                </a:solidFill>
                <a:effectLst/>
                <a:latin typeface="Montserrat" panose="00000500000000000000" pitchFamily="2" charset="0"/>
                <a:ea typeface="+mn-ea"/>
                <a:cs typeface="+mn-cs"/>
              </a:endParaRPr>
            </a:p>
            <a:p>
              <a:r>
                <a:rPr lang="en-US" sz="1100" b="1" i="0">
                  <a:solidFill>
                    <a:schemeClr val="tx1"/>
                  </a:solidFill>
                  <a:effectLst/>
                  <a:latin typeface="Montserrat" panose="00000500000000000000" pitchFamily="2" charset="0"/>
                  <a:ea typeface="+mn-ea"/>
                  <a:cs typeface="+mn-cs"/>
                </a:rPr>
                <a:t>EPA and DHA in feed (g/kg) </a:t>
              </a:r>
              <a:r>
                <a:rPr lang="en-US" sz="1100" b="0" i="0">
                  <a:solidFill>
                    <a:schemeClr val="tx1"/>
                  </a:solidFill>
                  <a:effectLst/>
                  <a:latin typeface="Montserrat" panose="00000500000000000000" pitchFamily="2" charset="0"/>
                  <a:ea typeface="+mn-ea"/>
                  <a:cs typeface="+mn-cs"/>
                </a:rPr>
                <a:t>(Calculated field)</a:t>
              </a:r>
            </a:p>
            <a:p>
              <a:r>
                <a:rPr lang="en-US" sz="1100" b="0" i="0">
                  <a:solidFill>
                    <a:schemeClr val="tx1"/>
                  </a:solidFill>
                  <a:effectLst/>
                  <a:latin typeface="Montserrat" panose="00000500000000000000" pitchFamily="2" charset="0"/>
                  <a:ea typeface="+mn-ea"/>
                  <a:cs typeface="+mn-cs"/>
                </a:rPr>
                <a:t>The EPA &amp; DHA in feed in g/kg of feed is automatically calculated for each species. </a:t>
              </a:r>
              <a:r>
                <a:rPr lang="en-US" sz="1100">
                  <a:solidFill>
                    <a:sysClr val="windowText" lastClr="000000"/>
                  </a:solidFill>
                  <a:effectLst/>
                  <a:latin typeface="Montserrat" panose="00000500000000000000" pitchFamily="2" charset="0"/>
                  <a:ea typeface="+mn-ea"/>
                  <a:cs typeface="+mn-cs"/>
                </a:rPr>
                <a:t>If the fish oil content varies in different feeds used during production, a weighted average is calculated. The grams of fish oil relate to fish oil originating from forage fisheries for industrial purposes. The EPA and DHA in feed</a:t>
              </a:r>
              <a:r>
                <a:rPr lang="en-US" sz="1100" baseline="0">
                  <a:solidFill>
                    <a:sysClr val="windowText" lastClr="000000"/>
                  </a:solidFill>
                  <a:effectLst/>
                  <a:latin typeface="Montserrat" panose="00000500000000000000" pitchFamily="2" charset="0"/>
                  <a:ea typeface="+mn-ea"/>
                  <a:cs typeface="+mn-cs"/>
                </a:rPr>
                <a:t>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r>
                <a:rPr lang="en-GB" sz="1100" i="0">
                  <a:solidFill>
                    <a:sysClr val="windowText" lastClr="000000"/>
                  </a:solidFill>
                  <a:effectLst/>
                  <a:latin typeface="Cambria Math" panose="02040503050406030204" pitchFamily="18" charset="0"/>
                  <a:ea typeface="+mn-ea"/>
                  <a:cs typeface="+mn-cs"/>
                </a:rPr>
                <a:t>𝐸𝑃𝐴 𝑎𝑛𝑑 𝐷𝐻𝐴 𝑖𝑛 𝑓𝑒𝑒𝑑 (𝑔/𝑘𝑔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𝑡𝑜𝑡𝑎𝑙 𝑓𝑒𝑒𝑑 𝑢𝑠𝑒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𝑡𝑜𝑛𝑛𝑒𝑠)</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a:t>
              </a:r>
              <a:r>
                <a:rPr lang="de-DE" sz="1100" b="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1000</a:t>
              </a:r>
              <a:r>
                <a:rPr lang="en-NL" sz="1100" i="0">
                  <a:solidFill>
                    <a:sysClr val="windowText" lastClr="000000"/>
                  </a:solidFill>
                  <a:effectLst/>
                  <a:latin typeface="Cambria Math" panose="02040503050406030204" pitchFamily="18" charset="0"/>
                  <a:ea typeface="+mn-ea"/>
                  <a:cs typeface="+mn-cs"/>
                </a:rPr>
                <a:t>)</a:t>
              </a:r>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anose="00000500000000000000" pitchFamily="2" charset="0"/>
                  <a:ea typeface="+mn-ea"/>
                  <a:cs typeface="+mn-cs"/>
                </a:rPr>
                <a:t>Where total EPA and DHA in feed is calculated as follows:</a:t>
              </a:r>
              <a:endParaRPr lang="en-NL" sz="1100">
                <a:solidFill>
                  <a:sysClr val="windowText" lastClr="000000"/>
                </a:solidFill>
                <a:effectLst/>
                <a:latin typeface="Montserrat" panose="00000500000000000000" pitchFamily="2" charset="0"/>
                <a:ea typeface="+mn-ea"/>
                <a:cs typeface="+mn-cs"/>
              </a:endParaRP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r>
                <a:rPr lang="en-GB" sz="1100">
                  <a:solidFill>
                    <a:sysClr val="windowText" lastClr="000000"/>
                  </a:solidFill>
                  <a:effectLst/>
                  <a:ea typeface="+mn-ea"/>
                  <a:cs typeface="+mn-cs"/>
                </a:rPr>
                <a:t>	</a:t>
              </a:r>
              <a:r>
                <a:rPr lang="en-GB" sz="1100" i="0">
                  <a:solidFill>
                    <a:sysClr val="windowText" lastClr="000000"/>
                  </a:solidFill>
                  <a:effectLst/>
                  <a:latin typeface="Cambria Math" panose="02040503050406030204" pitchFamily="18" charset="0"/>
                  <a:ea typeface="+mn-ea"/>
                  <a:cs typeface="+mn-cs"/>
                </a:rPr>
                <a:t>𝑡𝑜𝑡𝑎𝑙 𝐸𝑃𝐴 𝑎𝑛𝑑 𝐷𝐻𝐴 𝑖𝑛 𝑓𝑒𝑒𝑑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𝑔)=</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1</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 </a:t>
              </a:r>
              <a:r>
                <a:rPr lang="en-NL" sz="1100" i="0">
                  <a:solidFill>
                    <a:sysClr val="windowText" lastClr="000000"/>
                  </a:solidFill>
                  <a:effectLst/>
                  <a:latin typeface="Cambria Math" panose="02040503050406030204" pitchFamily="18" charset="0"/>
                  <a:ea typeface="+mn-ea"/>
                  <a:cs typeface="+mn-cs"/>
                </a:rPr>
                <a:t>(</a:t>
              </a:r>
              <a:r>
                <a:rPr lang="en-GB" sz="1100" i="0">
                  <a:solidFill>
                    <a:sysClr val="windowText" lastClr="000000"/>
                  </a:solidFill>
                  <a:effectLst/>
                  <a:latin typeface="Cambria Math" panose="02040503050406030204" pitchFamily="18" charset="0"/>
                  <a:ea typeface="+mn-ea"/>
                  <a:cs typeface="+mn-cs"/>
                </a:rPr>
                <a:t>𝐸𝑃𝐴 𝑎𝑛𝑑 𝐷𝐻𝐴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%)∗𝑓𝑜 𝑐𝑜𝑛𝑡𝑒𝑛𝑡</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%)∗𝑓𝑒𝑒𝑑 𝑢𝑠𝑒</a:t>
              </a:r>
              <a:r>
                <a:rPr lang="en-NL" sz="1100" i="0">
                  <a:solidFill>
                    <a:sysClr val="windowText" lastClr="000000"/>
                  </a:solidFill>
                  <a:effectLst/>
                  <a:latin typeface="Cambria Math" panose="02040503050406030204" pitchFamily="18" charset="0"/>
                  <a:ea typeface="+mn-ea"/>
                  <a:cs typeface="+mn-cs"/>
                </a:rPr>
                <a:t>_(</a:t>
              </a:r>
              <a:r>
                <a:rPr lang="en-GB" sz="1100" i="0">
                  <a:solidFill>
                    <a:sysClr val="windowText" lastClr="000000"/>
                  </a:solidFill>
                  <a:effectLst/>
                  <a:latin typeface="Cambria Math" panose="02040503050406030204" pitchFamily="18" charset="0"/>
                  <a:ea typeface="+mn-ea"/>
                  <a:cs typeface="+mn-cs"/>
                </a:rPr>
                <a:t>𝑡𝑦𝑝𝑒 2</a:t>
              </a:r>
              <a:r>
                <a:rPr lang="en-NL" sz="1100" i="0">
                  <a:solidFill>
                    <a:sysClr val="windowText" lastClr="000000"/>
                  </a:solidFill>
                  <a:effectLst/>
                  <a:latin typeface="Cambria Math" panose="02040503050406030204" pitchFamily="18" charset="0"/>
                  <a:ea typeface="+mn-ea"/>
                  <a:cs typeface="+mn-cs"/>
                </a:rPr>
                <a:t>) (</a:t>
              </a:r>
              <a:r>
                <a:rPr lang="en-GB" sz="1100" i="0">
                  <a:solidFill>
                    <a:sysClr val="windowText" lastClr="000000"/>
                  </a:solidFill>
                  <a:effectLst/>
                  <a:latin typeface="Cambria Math" panose="02040503050406030204" pitchFamily="18" charset="0"/>
                  <a:ea typeface="+mn-ea"/>
                  <a:cs typeface="+mn-cs"/>
                </a:rPr>
                <a:t>𝑡𝑜𝑛𝑛𝑒𝑠)∗100)+𝑒𝑡𝑐</a:t>
              </a:r>
              <a:endParaRPr lang="en-GB" sz="1100">
                <a:solidFill>
                  <a:sysClr val="windowText" lastClr="000000"/>
                </a:solidFill>
                <a:effectLst/>
                <a:latin typeface="Montserrat" pitchFamily="2" charset="0"/>
                <a:ea typeface="+mn-ea"/>
                <a:cs typeface="+mn-cs"/>
              </a:endParaRPr>
            </a:p>
            <a:p>
              <a:endParaRPr lang="en-GB" sz="1100">
                <a:solidFill>
                  <a:sysClr val="windowText" lastClr="000000"/>
                </a:solidFill>
                <a:effectLst/>
                <a:latin typeface="Montserrat" pitchFamily="2" charset="0"/>
                <a:ea typeface="+mn-ea"/>
                <a:cs typeface="+mn-cs"/>
              </a:endParaRPr>
            </a:p>
            <a:p>
              <a:endParaRPr lang="en-NL" sz="1100" b="1">
                <a:solidFill>
                  <a:sysClr val="windowText" lastClr="000000"/>
                </a:solidFill>
                <a:effectLst/>
                <a:latin typeface="Montserrat" pitchFamily="2" charset="0"/>
              </a:endParaRPr>
            </a:p>
            <a:p>
              <a:r>
                <a:rPr lang="en-US" sz="1100" b="1" i="0">
                  <a:solidFill>
                    <a:sysClr val="windowText" lastClr="000000"/>
                  </a:solidFill>
                  <a:effectLst/>
                  <a:latin typeface="Montserrat" pitchFamily="2" charset="0"/>
                  <a:ea typeface="+mn-ea"/>
                  <a:cs typeface="+mn-cs"/>
                </a:rPr>
                <a:t>EPA</a:t>
              </a:r>
              <a:r>
                <a:rPr lang="en-US" sz="1100" b="1" i="0" baseline="0">
                  <a:solidFill>
                    <a:sysClr val="windowText" lastClr="000000"/>
                  </a:solidFill>
                  <a:effectLst/>
                  <a:latin typeface="Montserrat" pitchFamily="2" charset="0"/>
                  <a:ea typeface="+mn-ea"/>
                  <a:cs typeface="+mn-cs"/>
                </a:rPr>
                <a:t> and DHA in feed </a:t>
              </a:r>
              <a:r>
                <a:rPr lang="en-US" sz="1100" b="1" i="0">
                  <a:solidFill>
                    <a:sysClr val="windowText" lastClr="000000"/>
                  </a:solidFill>
                  <a:effectLst/>
                  <a:latin typeface="Montserrat" pitchFamily="2" charset="0"/>
                  <a:ea typeface="+mn-ea"/>
                  <a:cs typeface="+mn-cs"/>
                </a:rPr>
                <a:t>(% in fish oil) </a:t>
              </a:r>
              <a:r>
                <a:rPr lang="en-US" sz="1100" b="0" i="0">
                  <a:solidFill>
                    <a:sysClr val="windowText" lastClr="000000"/>
                  </a:solidFill>
                  <a:effectLst/>
                  <a:latin typeface="Montserrat" pitchFamily="2" charset="0"/>
                  <a:ea typeface="+mn-ea"/>
                  <a:cs typeface="+mn-cs"/>
                </a:rPr>
                <a:t>(Calculated field)</a:t>
              </a:r>
            </a:p>
            <a:p>
              <a:r>
                <a:rPr lang="en-NL" sz="1100" b="0">
                  <a:solidFill>
                    <a:sysClr val="windowText" lastClr="000000"/>
                  </a:solidFill>
                  <a:effectLst/>
                  <a:latin typeface="Montserrat" pitchFamily="2" charset="0"/>
                </a:rPr>
                <a:t>The EPA &amp; DHA in feed as a percentage in fish oil is automatically calculated for each species. If the fish oil content varies in different feeds used during production, a weighted average is calculated. The percentage in fish oil relate</a:t>
              </a:r>
              <a:r>
                <a:rPr lang="de-DE" sz="1100" b="0">
                  <a:solidFill>
                    <a:sysClr val="windowText" lastClr="000000"/>
                  </a:solidFill>
                  <a:effectLst/>
                  <a:latin typeface="Montserrat" pitchFamily="2" charset="0"/>
                </a:rPr>
                <a:t>s</a:t>
              </a:r>
              <a:r>
                <a:rPr lang="en-NL" sz="1100" b="0">
                  <a:solidFill>
                    <a:sysClr val="windowText" lastClr="000000"/>
                  </a:solidFill>
                  <a:effectLst/>
                  <a:latin typeface="Montserrat" pitchFamily="2" charset="0"/>
                </a:rPr>
                <a:t> to fish oil originating from forage fisheries for industrial purposes. The EPA and DHA in feed (% in fish oil) is calculated as follows:</a:t>
              </a:r>
            </a:p>
            <a:p>
              <a:r>
                <a:rPr lang="en-GB" sz="1100">
                  <a:solidFill>
                    <a:sysClr val="windowText" lastClr="000000"/>
                  </a:solidFill>
                  <a:effectLst/>
                  <a:latin typeface="Montserrat" pitchFamily="2" charset="0"/>
                  <a:ea typeface="+mn-ea"/>
                  <a:cs typeface="+mn-cs"/>
                </a:rPr>
                <a:t> </a:t>
              </a:r>
              <a:endParaRPr lang="en-NL" sz="1100">
                <a:solidFill>
                  <a:sysClr val="windowText" lastClr="000000"/>
                </a:solidFill>
                <a:effectLst/>
                <a:latin typeface="Montserrat" pitchFamily="2" charset="0"/>
                <a:ea typeface="+mn-ea"/>
                <a:cs typeface="+mn-cs"/>
              </a:endParaRPr>
            </a:p>
            <a:p>
              <a:pPr/>
              <a:r>
                <a:rPr lang="en-NL" sz="1100" i="0">
                  <a:solidFill>
                    <a:sysClr val="windowText" lastClr="000000"/>
                  </a:solidFill>
                  <a:effectLst/>
                  <a:latin typeface="Cambria Math" panose="02040503050406030204" pitchFamily="18" charset="0"/>
                  <a:ea typeface="+mn-ea"/>
                  <a:cs typeface="+mn-cs"/>
                </a:rPr>
                <a:t>𝑤𝑒𝑖𝑔𝑡ℎ𝑒𝑑 𝐸𝑃𝐴 𝑎𝑛𝑑 𝐷𝐻𝐴 𝑖𝑛 𝑓𝑖𝑠ℎ 𝑜𝑖𝑙 (%)=  ((𝐸𝑃𝐴 𝑎𝑛𝑑 𝐷𝐻𝐴 𝑐𝑜𝑛𝑡𝑒𝑛𝑡_(𝑡𝑦𝑝𝑒 1) (%)∗𝑓𝑒𝑒𝑑 𝑢𝑠𝑒_(𝑡𝑦𝑝𝑒 1) (𝑡𝑜𝑛𝑛𝑒𝑠))+(𝐸𝑃𝐴 𝑎𝑛𝑑 𝐷𝐻𝐴 𝑐𝑜𝑛𝑡𝑒𝑛𝑡_(𝑡𝑦𝑝𝑒 2) (%)∗𝑓𝑒𝑒𝑑 𝑢𝑠𝑒_(𝑡𝑦𝑝𝑒 2) (𝑡𝑜𝑛𝑛𝑒𝑠))+𝑒𝑡𝑐)/(𝑡𝑜𝑡𝑎𝑙 𝑓𝑒𝑒𝑑 𝑢𝑠𝑒 (𝑡𝑜𝑛𝑛𝑒𝑠</a:t>
              </a:r>
              <a:r>
                <a:rPr lang="en-US" sz="1100" b="0" i="0">
                  <a:solidFill>
                    <a:sysClr val="windowText" lastClr="000000"/>
                  </a:solidFill>
                  <a:effectLst/>
                  <a:latin typeface="Cambria Math" panose="02040503050406030204" pitchFamily="18" charset="0"/>
                  <a:ea typeface="+mn-ea"/>
                  <a:cs typeface="+mn-cs"/>
                </a:rPr>
                <a:t>)</a:t>
              </a:r>
              <a:r>
                <a:rPr lang="en-NL" sz="1100" b="0" i="0">
                  <a:solidFill>
                    <a:sysClr val="windowText" lastClr="000000"/>
                  </a:solidFill>
                  <a:effectLst/>
                  <a:latin typeface="Cambria Math" panose="02040503050406030204" pitchFamily="18" charset="0"/>
                  <a:ea typeface="+mn-ea"/>
                  <a:cs typeface="+mn-cs"/>
                </a:rPr>
                <a:t>)</a:t>
              </a:r>
              <a:endParaRPr lang="en-NL" sz="1100">
                <a:solidFill>
                  <a:sysClr val="windowText" lastClr="000000"/>
                </a:solidFill>
                <a:effectLst/>
                <a:latin typeface="Montserrat" panose="00000500000000000000" pitchFamily="2" charset="0"/>
              </a:endParaRPr>
            </a:p>
            <a:p>
              <a:pPr marL="0" marR="0" indent="0" algn="l">
                <a:lnSpc>
                  <a:spcPct val="100000"/>
                </a:lnSpc>
                <a:spcBef>
                  <a:spcPts val="0"/>
                </a:spcBef>
                <a:spcAft>
                  <a:spcPts val="0"/>
                </a:spcAft>
              </a:pPr>
              <a:endParaRPr lang="en-US" sz="1100" b="0" i="0" u="none" strike="noStrike">
                <a:solidFill>
                  <a:sysClr val="windowText" lastClr="000000"/>
                </a:solidFill>
                <a:latin typeface="Montserrat" panose="00000500000000000000" pitchFamily="2" charset="0"/>
                <a:cs typeface="Calibri" panose="020F0502020204030204" pitchFamily="34" charset="0"/>
              </a:endParaRPr>
            </a:p>
            <a:p>
              <a:pPr marL="0" marR="0" indent="0" algn="l">
                <a:lnSpc>
                  <a:spcPct val="100000"/>
                </a:lnSpc>
                <a:spcBef>
                  <a:spcPts val="0"/>
                </a:spcBef>
                <a:spcAft>
                  <a:spcPts val="0"/>
                </a:spcAft>
              </a:pPr>
              <a:endParaRPr lang="en-US" sz="1100" b="0" i="0" u="none" strike="noStrike">
                <a:solidFill>
                  <a:srgbClr val="000000"/>
                </a:solidFill>
                <a:latin typeface="Montserrat" panose="00000500000000000000" pitchFamily="2" charset="0"/>
                <a:cs typeface="Calibri" panose="020F0502020204030204" pitchFamily="34" charset="0"/>
              </a:endParaRPr>
            </a:p>
          </xdr:txBody>
        </xdr:sp>
      </mc:Fallback>
    </mc:AlternateContent>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6CDD3C1-AD8A-456B-B678-775819375C43}" name="Table126" displayName="Table126" ref="C4:S10" totalsRowShown="0" headerRowDxfId="468" dataDxfId="467">
  <tableColumns count="17">
    <tableColumn id="2" xr3:uid="{397697C0-F640-40FE-86E5-8CE54F041033}" name="Site name" dataDxfId="466"/>
    <tableColumn id="1" xr3:uid="{97E12BA7-5961-47AF-9064-E217F0E5948E}" name="ASC site ID" dataDxfId="465"/>
    <tableColumn id="3" xr3:uid="{0B070CB7-188D-4AF2-B80E-7B9575683689}" name="Species in production (Latin name) (select)" dataDxfId="464"/>
    <tableColumn id="7" xr3:uid="{C33E4690-9FE1-43E9-A7B7-F8B4E6DC4BF1}" name="Cycle ID" dataDxfId="463"/>
    <tableColumn id="16" xr3:uid="{7FA2B8D4-7702-4056-B179-899B172741A0}" name="Production cycle start _x000a_(dd-mm-yyyy)" dataDxfId="462"/>
    <tableColumn id="15" xr3:uid="{F9F7B276-ADAE-4F72-868A-76FDF48C7EB1}" name="Production cycle end _x000a_(dd-mm-yyyy)" dataDxfId="461"/>
    <tableColumn id="8" xr3:uid="{2BA66317-84E8-4A7F-B9B6-477FD084F62B}" name="ASC certified standing stock, start yr (tonnes)" dataDxfId="460"/>
    <tableColumn id="9" xr3:uid="{B8972B93-13DB-4BF2-A47A-024CA75BF76E}" name="ASC certified standing stock, end yr (tonnes)" dataDxfId="459"/>
    <tableColumn id="4" xr3:uid="{024F4006-50C5-4E3D-AA6F-536EC10C108D}" name="ASC certified stocked volume (tonnes)" dataDxfId="458"/>
    <tableColumn id="5" xr3:uid="{62F6369A-80BA-4B50-AA50-1FEF5AE78F53}" name="ASC certified harvested production volume (tonnes)" dataDxfId="457"/>
    <tableColumn id="17" xr3:uid="{AFE300A3-26D7-4BCA-BB27-7A32CEBDB74F}" name="Standing stock, start yr (# animals)" dataDxfId="456"/>
    <tableColumn id="14" xr3:uid="{9CC173FE-3323-4B2E-B94B-7F80FE2C5CCB}" name="Standing stock, end yr (# animals)" dataDxfId="455"/>
    <tableColumn id="12" xr3:uid="{B4DA9E9E-4A58-4642-B28E-916443C4B4F7}" name="Stocking count _x000a_(# animals)" dataDxfId="454"/>
    <tableColumn id="11" xr3:uid="{974913BA-2A2C-4991-80F2-8D2BEE587E44}" name="Harvest count _x000a_(# animals)" dataDxfId="453"/>
    <tableColumn id="6" xr3:uid="{63064890-9044-44C7-9C6E-DDAEF96EE771}" name="Non-ASC certified harvested production volume (tonnes)" dataDxfId="452"/>
    <tableColumn id="10" xr3:uid="{7A350BFD-114F-4008-8EA1-6B910A417A05}" name="ASC certified net production volume (tonnes)" dataDxfId="451">
      <calculatedColumnFormula>IF(Table126[[#This Row],[Site name]]= "", "",(Table126[[#This Row],[ASC certified harvested production volume (tonnes)]])-(Table126[[#This Row],[ASC certified stocked volume (tonnes)]]))</calculatedColumnFormula>
    </tableColumn>
    <tableColumn id="13" xr3:uid="{FEBF8C57-95AC-4B90-B275-EDE93BFBCCC0}" name="Notes" dataDxfId="450"/>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DEFA45DB-659C-47AB-BF19-CE3B69FEC812}" name="Table5172" displayName="Table5172" ref="AA4:AE19" totalsRowShown="0" headerRowDxfId="381" dataDxfId="379" headerRowBorderDxfId="380" tableBorderDxfId="378">
  <autoFilter ref="AA4:AE19" xr:uid="{DEFA45DB-659C-47AB-BF19-CE3B69FEC812}"/>
  <tableColumns count="5">
    <tableColumn id="1" xr3:uid="{2CB93451-1862-46D2-84ED-47022E55F5BA}" name="Abiotic index ref" dataDxfId="377"/>
    <tableColumn id="2" xr3:uid="{0BEC3542-D068-47CD-AC80-E48357C4942B}" name="Equal or larger than" dataDxfId="376"/>
    <tableColumn id="3" xr3:uid="{9524E834-D2A7-4B55-9FBB-88D21FB7D84B}" name="smaller than" dataDxfId="375"/>
    <tableColumn id="4" xr3:uid="{2070E6A3-AD25-4808-9009-EF14C2864338}" name="EQS category ref" dataDxfId="374"/>
    <tableColumn id="5" xr3:uid="{A43D2156-3D3D-4B6C-9D60-F877302816F7}" name="Notes" dataDxfId="373"/>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AA83C77C-D70E-4B81-832C-AE195507934B}" name="Table20" displayName="Table20" ref="AA23:AE28" totalsRowShown="0" headerRowDxfId="372" dataDxfId="371">
  <autoFilter ref="AA23:AE28" xr:uid="{AA83C77C-D70E-4B81-832C-AE195507934B}"/>
  <tableColumns count="5">
    <tableColumn id="1" xr3:uid="{A94B85B7-8D91-40DE-8E55-34C9CB0F7F0E}" name="EQS category ref" dataDxfId="370"/>
    <tableColumn id="2" xr3:uid="{924D3729-AA0A-4C3C-BC75-0C7F29FFD8F4}" name="Larger than" dataDxfId="369"/>
    <tableColumn id="3" xr3:uid="{40FCFF91-4FDB-4BB4-897F-9FE932035F17}" name="Equal or smaller than" dataDxfId="368"/>
    <tableColumn id="4" xr3:uid="{A1C75C4E-0505-4B86-96E9-E9EB76690665}" name="Zone EQS score per indicator" dataDxfId="367"/>
    <tableColumn id="5" xr3:uid="{86EE2B33-02AD-4173-84AA-366BFD4522E2}" name="Notes" dataDxfId="366"/>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3A25C1C2-445C-4611-AE23-9D764CAF940B}" name="Table56" displayName="Table56" ref="C57:H69" totalsRowShown="0" headerRowDxfId="365" dataDxfId="364">
  <tableColumns count="6">
    <tableColumn id="1" xr3:uid="{6CDD5099-76A8-42FA-AE03-824DE4CC6732}" name="Site name" dataDxfId="363"/>
    <tableColumn id="4" xr3:uid="{E59D5E27-0F91-4929-840B-EA9FE9AB5A87}" name="Biotic indicator" dataDxfId="362">
      <calculatedColumnFormula>E8</calculatedColumnFormula>
    </tableColumn>
    <tableColumn id="3" xr3:uid="{E8EBA17D-47B5-407D-93D4-6E4F481E19D3}" name="EQS sampling zone" dataDxfId="361"/>
    <tableColumn id="5" xr3:uid="{255978A0-6341-45E1-87FD-B5D9ADDCD160}" name="Avg. indicator value" dataDxfId="360">
      <calculatedColumnFormula>AVERAGE(I5:J5,I9:J9,I13:J13,I17:J17)</calculatedColumnFormula>
    </tableColumn>
    <tableColumn id="2" xr3:uid="{DD23238B-F196-4C73-9D30-1406A7E294B6}" name="EQS category" dataDxfId="359">
      <calculatedColumnFormula array="1" xml:space="preserve"> IFERROR(INDEX(Table9[EQS category ref], MATCH(1, (Table56[[#This Row],[Biotic indicator]]=Table9[Biotic index ref])*(Table56[[#This Row],[Avg. indicator value]]&gt;=Table9[Equal or larger than (x≥)])*(Table56[[#This Row],[Avg. indicator value]]&lt;Table9[smaller than (x&lt;)]),0)),"")</calculatedColumnFormula>
    </tableColumn>
    <tableColumn id="8" xr3:uid="{433FA835-4B09-4507-8B71-8FF470AAE3FB}" name="Indicator EQS score" dataDxfId="358">
      <calculatedColumnFormula array="1">IFERROR(_xlfn.IFS(Table56[[#This Row],[EQS category]]="Bad",5, Table56[[#This Row],[EQS category]]="Poor",4, Table56[[#This Row],[EQS category]]="Moderate",3, Table56[[#This Row],[EQS category]]="Good",2, Table56[[#This Row],[EQS category]]="High",1),"")</calculatedColumnFormula>
    </tableColumn>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5F207343-F816-435B-AC9A-D7B00084578B}" name="Table57" displayName="Table57" ref="C73:F77" totalsRowShown="0" headerRowDxfId="357" dataDxfId="356">
  <tableColumns count="4">
    <tableColumn id="1" xr3:uid="{5271AEC8-27C6-4D19-9B4D-8820A39BA910}" name="Site name " dataDxfId="355">
      <calculatedColumnFormula>C58</calculatedColumnFormula>
    </tableColumn>
    <tableColumn id="3" xr3:uid="{D0F78312-CB61-468A-8F3D-1C86F5A68366}" name="EQS sampling zone" dataDxfId="354">
      <calculatedColumnFormula>Table56[[#This Row],[EQS sampling zone]]</calculatedColumnFormula>
    </tableColumn>
    <tableColumn id="2" xr3:uid="{FEAB0D1B-0DA1-450E-9A8B-7CC646D4D675}" name="Zone EQS score" dataDxfId="353">
      <calculatedColumnFormula>(H58+H59+H60)/3</calculatedColumnFormula>
    </tableColumn>
    <tableColumn id="4" xr3:uid="{E2F36895-EB31-4F96-A926-6F063E12650F}" name="Zone EQS category" dataDxfId="352">
      <calculatedColumnFormula array="1" xml:space="preserve"> IFERROR(INDEX(Table204[EQS category ref], MATCH(1,(Table57[[#This Row],[Zone EQS score]]&gt;Table204[Larger than])*(Table57[[#This Row],[Zone EQS score]]&lt;=Table204[Equal or smaller than]),0)),"")</calculatedColumnFormula>
    </tableColumn>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8F5721DC-C460-42B2-B8F8-EE50AEE940E5}" name="Table58" displayName="Table58" ref="C81:D82" totalsRowShown="0" headerRowDxfId="351" dataDxfId="350">
  <tableColumns count="2">
    <tableColumn id="1" xr3:uid="{ED37F06B-DBF9-4BDC-864B-3578F1F7F769}" name="Site name" dataDxfId="349">
      <calculatedColumnFormula>C74</calculatedColumnFormula>
    </tableColumn>
    <tableColumn id="3" xr3:uid="{D4329557-D384-4C3D-B52C-A3A29A493294}" name="Benthic status - Level 3" dataDxfId="348">
      <calculatedColumnFormula array="1">IFERROR(INDEX(Table40[Benthic status], MATCH(1, (F77=Table40[[Reference zone ]])*(F76=Table40[Farm monitoring zone 1])*(F75=Table40[Farm monitoring zone 2])*(F74=Table40[Farm monitoring zone 3]), 0)),"")</calculatedColumnFormula>
    </tableColumn>
  </tableColumns>
  <tableStyleInfo name="TableStyleMedium13"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2149515-FBC9-4CEA-B38B-5E2F22A4D8E0}" name="Table1" displayName="Table1" ref="C4:K52" totalsRowShown="0" headerRowDxfId="347" dataDxfId="346">
  <tableColumns count="9">
    <tableColumn id="1" xr3:uid="{AB1DF2E2-2DA1-4F69-A2E2-B772D2E8CDDC}" name="Site name" dataDxfId="345"/>
    <tableColumn id="2" xr3:uid="{93344035-30CA-4BEE-87CF-47A199315728}" name="Sampling date _x000a_(dd-mm-yyyy)" dataDxfId="344"/>
    <tableColumn id="6" xr3:uid="{B9280C6E-1FF4-4FB1-95D9-256C5F154828}" name="Biotic indicator (select)" dataDxfId="343"/>
    <tableColumn id="5" xr3:uid="{97D7C27A-0840-48C9-9734-DEF6EB96A266}" name="Direction compared to water flow" dataDxfId="342"/>
    <tableColumn id="3" xr3:uid="{1565521B-F2F4-47CF-AD60-76AF77A091A7}" name="EQS sampling zone" dataDxfId="341"/>
    <tableColumn id="4" xr3:uid="{6EF98EEA-3AAC-4287-B1F4-F6B3BB7D121B}" name="Distance from edge of cages (m)" dataDxfId="340"/>
    <tableColumn id="7" xr3:uid="{54542326-FDBC-481B-AC7F-92A0857E5CB1}" name="Avg. value - sample 1" dataDxfId="339"/>
    <tableColumn id="9" xr3:uid="{E0016E49-E4CF-4B8C-9CA8-D75579B4A5E1}" name="Avg. value - sample 2" dataDxfId="338"/>
    <tableColumn id="10" xr3:uid="{EAF01EC0-D075-49EC-ABA1-3E303560B519}" name="Notes" dataDxfId="337"/>
  </tableColumns>
  <tableStyleInfo name="TableStyleMedium13"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88BC72E-181E-4F97-BCFD-3514B85DF0C5}" name="Table9" displayName="Table9" ref="AB4:AF74" totalsRowShown="0" headerRowDxfId="336" dataDxfId="335">
  <tableColumns count="5">
    <tableColumn id="1" xr3:uid="{E8EFB850-5D95-4092-B6FB-489BA22D8D72}" name="Biotic index ref" dataDxfId="334"/>
    <tableColumn id="2" xr3:uid="{A1144CC4-C672-42B2-841B-31ADABA02B01}" name="Equal or larger than (x≥)" dataDxfId="333"/>
    <tableColumn id="5" xr3:uid="{0311B541-D336-402D-A2F2-4DC43760BFAB}" name="smaller than (x&lt;)" dataDxfId="332"/>
    <tableColumn id="3" xr3:uid="{4ECF96BC-7B14-4CEA-92BE-7EDE7A56A134}" name="EQS category ref" dataDxfId="331"/>
    <tableColumn id="4" xr3:uid="{1A575A7D-9326-4F5A-91E8-8486A21F6955}" name="Notes" dataDxfId="330"/>
  </tableColumns>
  <tableStyleInfo name="TableStyleMedium13"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A5D7E37D-BEF8-4592-8450-EA7F5F401FEA}" name="Table40" displayName="Table40" ref="AH4:AL629" totalsRowShown="0" headerRowDxfId="329" dataDxfId="328">
  <autoFilter ref="AH4:AL629" xr:uid="{A5D7E37D-BEF8-4592-8450-EA7F5F401FEA}"/>
  <tableColumns count="5">
    <tableColumn id="1" xr3:uid="{E98AED81-6EA6-4A9B-B105-AADB95B4CFA1}" name="Reference zone " dataDxfId="327"/>
    <tableColumn id="2" xr3:uid="{B0B03650-4EE4-4397-97A7-B37909D79F04}" name="Farm monitoring zone 1" dataDxfId="326"/>
    <tableColumn id="3" xr3:uid="{0A66A574-6646-4D2F-8FFD-FE7C36C01159}" name="Farm monitoring zone 2" dataDxfId="325"/>
    <tableColumn id="4" xr3:uid="{787CC75E-0E95-4505-99F8-8A690716BE15}" name="Farm monitoring zone 3" dataDxfId="324"/>
    <tableColumn id="5" xr3:uid="{D3A35064-ABCB-4DA5-84F2-639EAB687962}" name="Benthic status" dataDxfId="323"/>
  </tableColumns>
  <tableStyleInfo name="TableStyleMedium13"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9C084-0859-4C47-95D6-DF4179B35BC2}" name="Table204" displayName="Table204" ref="AB78:AF83" totalsRowShown="0" headerRowDxfId="322" dataDxfId="321">
  <autoFilter ref="AB78:AF83" xr:uid="{AB29C084-0859-4C47-95D6-DF4179B35BC2}"/>
  <tableColumns count="5">
    <tableColumn id="1" xr3:uid="{3BD300B9-8D89-4B25-800B-E97B07358A50}" name="EQS category ref" dataDxfId="320"/>
    <tableColumn id="2" xr3:uid="{F1A08CFD-1CFA-4623-A3A1-2A4F40E4448B}" name="Larger than" dataDxfId="319"/>
    <tableColumn id="3" xr3:uid="{04633E39-432B-432F-819B-F72BD04B1184}" name="Equal or smaller than" dataDxfId="318"/>
    <tableColumn id="4" xr3:uid="{8740E0BB-480E-4F27-90E6-8A1D32150A7C}" name="Zone EQS score per indicator" dataDxfId="317"/>
    <tableColumn id="5" xr3:uid="{B8084D78-7AB4-4C1B-9E14-20E6192E70ED}" name="Notes" dataDxfId="316"/>
  </tableColumns>
  <tableStyleInfo name="TableStyleMedium13"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315" dataDxfId="314">
  <tableColumns count="9">
    <tableColumn id="1" xr3:uid="{7B02BCB4-0819-47F1-9615-5610D2BD0126}" name="Site name" dataDxfId="313"/>
    <tableColumn id="2" xr3:uid="{299F8254-6B1C-456E-A8DF-560DFCABE57D}" name="Sampling date (dd-mm-yyyy)" dataDxfId="312"/>
    <tableColumn id="3" xr3:uid="{CD530C35-7A55-4545-A96D-86D8D30D802B}" name="Abiotic indicator" dataDxfId="311"/>
    <tableColumn id="4" xr3:uid="{44B3928D-4E5D-4175-B15F-237587915340}" name="Direction compared to water flow" dataDxfId="310"/>
    <tableColumn id="5" xr3:uid="{F683EAA2-05D5-4D16-AA7E-44DE35B5D30E}" name="EQS sampling zone" dataDxfId="309"/>
    <tableColumn id="6" xr3:uid="{6D32B4D9-B2D1-4B4A-A6DB-3A85322F780C}" name="Distance from site boundary (m)" dataDxfId="308"/>
    <tableColumn id="7" xr3:uid="{A3C74AE2-0B4D-4B43-8484-DC15EE7E0829}" name="Avg. value - sample 1" dataDxfId="307"/>
    <tableColumn id="8" xr3:uid="{24369B05-83D4-4FEF-A66D-04841970A92D}" name="Avg. value - sample 2" dataDxfId="306"/>
    <tableColumn id="9" xr3:uid="{B7ADFCE8-C279-4D1C-8180-D02F0503CA6B}" name="Notes" dataDxfId="305"/>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D951244-574C-4DD5-957B-E911ABD761ED}" name="Table2" displayName="Table2" ref="C4:H50" totalsRowShown="0" headerRowDxfId="449" dataDxfId="448">
  <tableColumns count="6">
    <tableColumn id="2" xr3:uid="{D93C199E-D571-4A8C-8694-6DCF2C98F1AD}" name="Species in production (latin name) (select)" dataDxfId="447"/>
    <tableColumn id="8" xr3:uid="{4331F7AA-477F-4CE7-A58B-8F770EEF7B99}" name="Cycle ID (select)" dataDxfId="446"/>
    <tableColumn id="9" xr3:uid="{3841ED33-C534-42A4-A73B-9B21494276EA}" name="Date of event (dd-mm-yyyy) " dataDxfId="445"/>
    <tableColumn id="4" xr3:uid="{50C672C4-0CB6-4C1F-BF77-B31D95F28559}" name="Number of escapees (# animals)" dataDxfId="444"/>
    <tableColumn id="3" xr3:uid="{36C045EC-FA8E-48F1-AE04-52F30472E2D7}" name="Cause of escape event (select)" dataDxfId="443"/>
    <tableColumn id="5" xr3:uid="{37996EF0-1C0B-43F8-9636-431BFD50E3E6}" name="Notes" dataDxfId="442"/>
  </tableColumns>
  <tableStyleInfo name="TableStyleMedium13"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304" dataDxfId="303">
  <tableColumns count="9">
    <tableColumn id="1" xr3:uid="{2E46E317-6205-4053-9624-550724D2375F}" name="Site name" dataDxfId="302"/>
    <tableColumn id="2" xr3:uid="{1CD05770-29EB-47F3-85EC-6409F0CA923A}" name="Sampling date (dd-mm-yyyy)" dataDxfId="301"/>
    <tableColumn id="3" xr3:uid="{0E4EB74A-748C-4C48-9A11-488163C0E6F5}" name="Abiotic indicator (select)" dataDxfId="300"/>
    <tableColumn id="4" xr3:uid="{376C8532-75B4-4382-8DF7-59B895F67B7A}" name="Direction compared to water flow" dataDxfId="299"/>
    <tableColumn id="5" xr3:uid="{6BE3CB95-56C2-4C04-9290-868058FF42B3}" name="EQS sampling zone" dataDxfId="298"/>
    <tableColumn id="6" xr3:uid="{D840C9DD-6910-4A4B-8309-E9AFD3907FC0}" name="Distance from site boundary (m)" dataDxfId="297"/>
    <tableColumn id="7" xr3:uid="{086C95B6-394D-474A-8E54-8288F570C46A}" name="Avg. value - sample 1" dataDxfId="296"/>
    <tableColumn id="8" xr3:uid="{9E27EDC2-7041-4026-894A-D85168BE44A4}" name="Avg. value - sample 2" dataDxfId="295"/>
    <tableColumn id="9" xr3:uid="{09914ABA-9BA9-4960-A3C8-23BF1E9AB612}" name="Notes" dataDxfId="294"/>
  </tableColumns>
  <tableStyleInfo name="TableStyleMedium13"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293" dataDxfId="292">
  <tableColumns count="6">
    <tableColumn id="11" xr3:uid="{7BDE2C8E-C334-46AE-961C-E2C152088C0D}" name="Site name" dataDxfId="291"/>
    <tableColumn id="8" xr3:uid="{1EA0E71C-5675-4CC4-9E18-4F409D1B0D78}" name="Abiotic indicator" dataDxfId="290"/>
    <tableColumn id="7" xr3:uid="{E289C6DC-529A-40ED-8B89-4B9F3D76A606}" name="EQS sampling zone" dataDxfId="289"/>
    <tableColumn id="3" xr3:uid="{06731E0B-5430-4493-B341-8EF49E84B917}" name="Avg. indicator value" dataDxfId="288">
      <calculatedColumnFormula>AVERAGE(#REF!)</calculatedColumnFormula>
    </tableColumn>
    <tableColumn id="5" xr3:uid="{0DE69F8B-B73E-428F-B369-893803ED8214}" name="EQS category" dataDxfId="287" totalsRowDxfId="2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2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284">
  <tableColumns count="4">
    <tableColumn id="1" xr3:uid="{BD49E0E6-BC77-425E-8A65-27EB33ECE612}" name="Site name " dataDxfId="283">
      <calculatedColumnFormula>#REF!</calculatedColumnFormula>
    </tableColumn>
    <tableColumn id="2" xr3:uid="{91754EFB-4818-433F-85B8-5F94D6709FE6}" name="EQS sampling zone" dataDxfId="282"/>
    <tableColumn id="3" xr3:uid="{4A37C2F9-ED7B-4310-8038-A2238CC6EFBD}" name="Zone EQS score" dataDxfId="281">
      <calculatedColumnFormula array="1">_xlfn.IFS(D53= "Total Free Sulphide (S2-UV μM)", (H53*0.75+H54*0.25), D53="Total Free Sulphide (S2-ISE μM)", (H53+H54)/2)</calculatedColumnFormula>
    </tableColumn>
    <tableColumn id="4" xr3:uid="{245B3FF1-ADE2-4E50-857C-DD1C89EFEE85}" name="Zone EQS category" dataDxfId="2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279" dataDxfId="278">
  <tableColumns count="2">
    <tableColumn id="1" xr3:uid="{AA50D28A-A1D0-467A-A2B7-5F678CCD213F}" name="Site name" dataDxfId="277">
      <calculatedColumnFormula>C63</calculatedColumnFormula>
    </tableColumn>
    <tableColumn id="3" xr3:uid="{54A4074F-6F91-4ED7-994B-44E9C48839BE}" name="Benthic status - Level 1 and 2" dataDxfId="2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275" dataDxfId="273" headerRowBorderDxfId="274" tableBorderDxfId="272">
  <autoFilter ref="AA4:AE19" xr:uid="{ADBD5B71-5BED-4FE0-A3E7-B36118103193}"/>
  <tableColumns count="5">
    <tableColumn id="1" xr3:uid="{AA7CA9CD-BE8B-4FE6-A665-604936496C50}" name="Abiotic index ref" dataDxfId="271"/>
    <tableColumn id="2" xr3:uid="{FF635AC7-ED2E-43E3-8D54-E59FE96CDA39}" name="Equal or larger than" dataDxfId="270"/>
    <tableColumn id="3" xr3:uid="{079350BF-59EF-4686-AE89-654C04C1AB9D}" name="smaller than" dataDxfId="269"/>
    <tableColumn id="4" xr3:uid="{DF617F6B-3923-4A31-A624-5D627DFAAA77}" name="EQS category ref" dataDxfId="268"/>
    <tableColumn id="5" xr3:uid="{5C6F1F11-B71E-4F28-8715-D53343C95E7B}" name="Notes" dataDxfId="267"/>
  </tableColumns>
  <tableStyleInfo name="TableStyleMedium1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266" dataDxfId="264" headerRowBorderDxfId="265" tableBorderDxfId="263" totalsRowBorderDxfId="262">
  <autoFilter ref="AG4:AI29" xr:uid="{90F3BE59-4E87-4681-A100-3D7CA5BFD7A2}"/>
  <tableColumns count="3">
    <tableColumn id="1" xr3:uid="{C5BBE070-7096-45F1-ADFB-DE536DBB123B}" name="Inside site boundary" dataDxfId="261"/>
    <tableColumn id="2" xr3:uid="{7ADCB5B9-F2F3-4777-A328-EF1C2ADF55A7}" name="Outside site boundary" dataDxfId="260"/>
    <tableColumn id="3" xr3:uid="{B14674C4-D4DE-40CC-9F0D-790573D66407}" name="Benthic status" dataDxfId="25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258">
  <autoFilter ref="AA23:AE28" xr:uid="{5C0615CD-0769-47F7-91B1-10EBEE535AFE}"/>
  <tableColumns count="5">
    <tableColumn id="1" xr3:uid="{9B570EAE-976B-4584-8F2D-5B03B668845F}" name="EQS category ref" dataDxfId="257"/>
    <tableColumn id="2" xr3:uid="{A24EE723-A6F3-4B4D-B80E-E49485C772CA}" name="Larger than" dataDxfId="256"/>
    <tableColumn id="3" xr3:uid="{66E01759-2AD0-462B-835D-974B2C5BB66A}" name="Equal or smaller than" dataDxfId="255"/>
    <tableColumn id="4" xr3:uid="{66F7698E-66BF-4832-8DC9-E2FEDF5E75A9}" name="Zone EQS score per indicator" dataDxfId="254"/>
    <tableColumn id="5" xr3:uid="{671090D9-3041-49E0-A2E4-302E10D1ACFA}" name="Notes" dataDxfId="253"/>
  </tableColumns>
  <tableStyleInfo name="TableStyleMedium13"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252" dataDxfId="251">
  <tableColumns count="6">
    <tableColumn id="3" xr3:uid="{D6E96131-81C9-46A8-BB28-29758016F18C}" name="Site name" dataDxfId="250" totalsRowDxfId="249">
      <calculatedColumnFormula>Table194[[#This Row],[Site name]]</calculatedColumnFormula>
    </tableColumn>
    <tableColumn id="8" xr3:uid="{442A9E0D-9B05-4360-B2D3-B38D996BA0E9}" name="Abiotic indicator" dataDxfId="248" totalsRowDxfId="247">
      <calculatedColumnFormula>Table194[[#This Row],[Biotic indicator (select)]]</calculatedColumnFormula>
    </tableColumn>
    <tableColumn id="6" xr3:uid="{0FBA8D72-556C-41C1-97B0-BA0529332E96}" name="EQS sampling zone" dataDxfId="246">
      <calculatedColumnFormula>Table194[[#This Row],[EQS sampling zone]]</calculatedColumnFormula>
    </tableColumn>
    <tableColumn id="1" xr3:uid="{AD8CBEE7-6BBB-46B0-B167-8256447D1BD4}" name="Avg. indicator value" dataDxfId="245"/>
    <tableColumn id="2" xr3:uid="{5C0AFB6D-347B-4B8E-A07C-4DB6890570C0}" name="EQS category" dataDxfId="2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2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242" dataDxfId="241">
  <tableColumns count="4">
    <tableColumn id="1" xr3:uid="{08168835-8584-498C-B2BC-0692E29D0BBD}" name="Site name " dataDxfId="240">
      <calculatedColumnFormula>C69</calculatedColumnFormula>
    </tableColumn>
    <tableColumn id="3" xr3:uid="{CEBE8A76-594B-4393-8617-8AFDB26D3A69}" name="EQS sampling zone" dataDxfId="239">
      <calculatedColumnFormula>Table56[[#This Row],[EQS sampling zone]]</calculatedColumnFormula>
    </tableColumn>
    <tableColumn id="2" xr3:uid="{8A9EA8CC-9860-4266-ACBE-14F1FD2AEF29}" name="Zone EQS score" dataDxfId="238">
      <calculatedColumnFormula>(H69+H70+H71)/3</calculatedColumnFormula>
    </tableColumn>
    <tableColumn id="4" xr3:uid="{51B33A97-53B3-4B5D-A262-5545714B4EEF}" name="Zone EQS category" dataDxfId="2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236" dataDxfId="235">
  <tableColumns count="2">
    <tableColumn id="1" xr3:uid="{2464A2B3-5014-4E51-A8C8-8FDF47DC5DCE}" name="Site name" dataDxfId="234">
      <calculatedColumnFormula>C82</calculatedColumnFormula>
    </tableColumn>
    <tableColumn id="3" xr3:uid="{AB614285-CA99-45E0-AB41-6341BD9B065E}" name="Benthic status - Tier 3" dataDxfId="2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696D5FC-3FCB-4470-B44E-BA4BAF34832D}" name="Table19" displayName="Table19" ref="J4:N9" totalsRowShown="0" headerRowDxfId="441" dataDxfId="440">
  <autoFilter ref="J4:N9" xr:uid="{C696D5FC-3FCB-4470-B44E-BA4BAF34832D}">
    <filterColumn colId="0" hiddenButton="1"/>
    <filterColumn colId="1" hiddenButton="1"/>
    <filterColumn colId="2" hiddenButton="1"/>
    <filterColumn colId="3" hiddenButton="1"/>
    <filterColumn colId="4" hiddenButton="1"/>
  </autoFilter>
  <tableColumns count="5">
    <tableColumn id="1" xr3:uid="{6B15CD93-FC5D-47E5-82A6-097FD6FFBA5D}" name="Species in production" dataDxfId="439">
      <calculatedColumnFormula>'Dropdown tables - Production'!G3</calculatedColumnFormula>
    </tableColumn>
    <tableColumn id="5" xr3:uid="{8DBE0E33-2E58-431E-95DE-478D4262EB4E}" name="Standing stock, start yr (# animals)" dataDxfId="438">
      <calculatedColumnFormula>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calculatedColumnFormula>
    </tableColumn>
    <tableColumn id="2" xr3:uid="{1E54ADC4-1ADB-435D-AD50-A7318D55A850}" name="Stocking count _x000a_(# animals)" dataDxfId="437">
      <calculatedColumnFormula>IF(IF(J5=0, "", SUMIFS(Table126[Stocking count 
('# animals)],Table126[Species in production (Latin name) (select)],Table19[[#This Row],[Species in production]]))=0, "0",IF(J5=0, "", SUMIFS(Table126[Stocking count 
('# animals)],Table126[Species in production (Latin name) (select)],Table19[[#This Row],[Species in production]])))</calculatedColumnFormula>
    </tableColumn>
    <tableColumn id="3" xr3:uid="{C61A68BA-0911-490B-91B6-217235255917}" name="Known escapes (# animals)" dataDxfId="436">
      <calculatedColumnFormula>IF(IF(J5=0, "", SUMIFS(Table2[Number of escapees ('# animals)],Table2[Species in production (latin name) (select)],Table19[[#This Row],[Species in production]]))=0, "0",IF(J5=0, "", SUMIFS(Table2[Number of escapees ('# animals)],Table2[Species in production (latin name) (select)],Table19[[#This Row],[Species in production]])))</calculatedColumnFormula>
    </tableColumn>
    <tableColumn id="4" xr3:uid="{8A84A72D-8011-4BA4-8997-8DD9FAD0BAEA}" name="Known escapes (%)" dataDxfId="435">
      <calculatedColumnFormula>IFERROR(IF(J5= 0, "", ((Table19[[#This Row],[Known escapes ('# animals)]]/((Table19[[#This Row],[Stocking count 
('# animals)]]+Table19[[#This Row],[Standing stock, start yr ('# animals)]])))*100)),"0")</calculatedColumnFormula>
    </tableColumn>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232" dataDxfId="231">
  <tableColumns count="9">
    <tableColumn id="1" xr3:uid="{17C0D6F7-A8EE-46FB-860D-76D32FB9FF48}" name="Site name" dataDxfId="230"/>
    <tableColumn id="2" xr3:uid="{1FC1B517-EE91-481B-839E-ADECCAAD00B3}" name="Sampling date (dd-mm-yyyy)" dataDxfId="229"/>
    <tableColumn id="6" xr3:uid="{88AFE3A6-7243-447B-912C-8B4E61631267}" name="Biotic indicator (select)" dataDxfId="228"/>
    <tableColumn id="5" xr3:uid="{83A873A8-D830-4360-958F-4028C58AE66C}" name="Direction compared to water flow" dataDxfId="227"/>
    <tableColumn id="3" xr3:uid="{550A394D-6835-4D71-9FB6-4A59EA4F1B75}" name="EQS sampling zone" dataDxfId="226"/>
    <tableColumn id="4" xr3:uid="{EF24735A-BC86-4387-BC92-E1800226306C}" name="Distance from site boundary (m)" dataDxfId="225"/>
    <tableColumn id="7" xr3:uid="{BD586861-F3FD-4B87-95A4-5943B98F9AB2}" name="Avg. value - sample 1" dataDxfId="224"/>
    <tableColumn id="9" xr3:uid="{176302E3-4E0F-4642-A4A4-BD4724558437}" name="Avg. value - sample 2" dataDxfId="223"/>
    <tableColumn id="10" xr3:uid="{2138062F-448C-4B67-B10C-A983600F4A56}" name="Notes" dataDxfId="222"/>
  </tableColumns>
  <tableStyleInfo name="TableStyleMedium13"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21" dataDxfId="220">
  <tableColumns count="5">
    <tableColumn id="1" xr3:uid="{3484D3E6-ED3C-48E9-9BF6-C9F28A1EFC51}" name="Biotic index ref" dataDxfId="219"/>
    <tableColumn id="2" xr3:uid="{CC34A628-0255-4143-B8C8-22F001D7B46F}" name="Equal or larger than" dataDxfId="218"/>
    <tableColumn id="5" xr3:uid="{3B631D7D-D776-4CD3-9A09-FD84A2514B0F}" name="smaller than" dataDxfId="217"/>
    <tableColumn id="3" xr3:uid="{1B7D522B-96EE-4494-9A06-5E2C5E72D5DD}" name="EQS category ref" dataDxfId="216"/>
    <tableColumn id="4" xr3:uid="{A64DF6AE-1B0E-47A7-B22C-169A43425182}" name="Notes" dataDxfId="215"/>
  </tableColumns>
  <tableStyleInfo name="TableStyleMedium13"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214" dataDxfId="212" headerRowBorderDxfId="213" tableBorderDxfId="211" totalsRowBorderDxfId="210">
  <autoFilter ref="AH4:AJ29" xr:uid="{9578B65A-8CD5-48E9-8BEC-3FA1D51ED1B7}"/>
  <tableColumns count="3">
    <tableColumn id="1" xr3:uid="{CA18B56F-4260-4145-80C5-CD61838F4E08}" name="Inside site boundary" dataDxfId="209"/>
    <tableColumn id="2" xr3:uid="{25FA669E-4F3E-459E-BEE7-8E910C442061}" name="Outside site boundary" dataDxfId="208"/>
    <tableColumn id="3" xr3:uid="{3845C62D-F999-48CC-BF49-634909A5F028}" name="Benthic status" dataDxfId="207"/>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206" dataDxfId="205">
  <autoFilter ref="AA78:AE83" xr:uid="{82C44049-8BB5-4FAA-AA2E-3A4DA64AF4EC}"/>
  <tableColumns count="5">
    <tableColumn id="1" xr3:uid="{19F202BC-8010-4CE2-A968-09F08A24C0C5}" name="EQS category ref" dataDxfId="204"/>
    <tableColumn id="2" xr3:uid="{88C57295-6CD2-40F9-81EC-33FA2B7821FF}" name="Larger than" dataDxfId="203"/>
    <tableColumn id="3" xr3:uid="{96259E4A-62AD-47AF-8F0D-737958E433EC}" name="Equal or smaller than" dataDxfId="202"/>
    <tableColumn id="4" xr3:uid="{B21F80EF-9457-48B0-AB50-94E725A05588}" name="Zone EQS score per indicator" dataDxfId="201"/>
    <tableColumn id="5" xr3:uid="{665F4C4D-88FB-4870-8F94-E31F8C734322}" name="Notes" dataDxfId="200"/>
  </tableColumns>
  <tableStyleInfo name="TableStyleMedium13"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C871A79C-057B-4882-9D7C-5FE477CADF51}" name="Table4845" displayName="Table4845" ref="C76:F79" totalsRowShown="0" headerRowDxfId="199" dataDxfId="198">
  <tableColumns count="4">
    <tableColumn id="1" xr3:uid="{48BE62C6-7124-4CAF-829A-552444E1B733}" name="Site name " dataDxfId="197">
      <calculatedColumnFormula>C5</calculatedColumnFormula>
    </tableColumn>
    <tableColumn id="2" xr3:uid="{FBB4F59E-59B5-416D-BC9D-DA79131C3042}" name="EQS sampling zone" dataDxfId="196"/>
    <tableColumn id="3" xr3:uid="{224C6579-04CD-4C02-9E30-2116F03E599E}" name="Zone EQS score" dataDxfId="195">
      <calculatedColumnFormula>(Table16[[#This Row],[Indicator EQS score]]+I62)/2</calculatedColumnFormula>
    </tableColumn>
    <tableColumn id="4" xr3:uid="{7BB464EA-8EA9-4667-9075-0272E0988D7F}" name="Zone EQS category" dataDxfId="194">
      <calculatedColumnFormula array="1">IFERROR( INDEX(Table2022[EQS category ref], MATCH(1,(Table4845[[#This Row],[Zone EQS score]]&gt;Table2022[Larger than])*(Table4845[[#This Row],[Zone EQS score]]&lt;=Table2022[Equal or smaller than]),0)), "")</calculatedColumnFormula>
    </tableColumn>
  </tableColumns>
  <tableStyleInfo name="TableStyleMedium13"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FFC6E59E-F695-42F1-A262-E2461D1521CD}" name="Table584447" displayName="Table584447" ref="C83:D84" totalsRowShown="0" headerRowDxfId="193" dataDxfId="192">
  <tableColumns count="2">
    <tableColumn id="1" xr3:uid="{F1784371-4D37-431E-85AB-E7D0AFBC4E8D}" name="Site name" dataDxfId="191">
      <calculatedColumnFormula>C77</calculatedColumnFormula>
    </tableColumn>
    <tableColumn id="3" xr3:uid="{0910329A-14F1-4E5B-8CB6-AE4867712FDC}" name="Benthic status - Level 1 and 2" dataDxfId="190">
      <calculatedColumnFormula array="1">IFERROR(INDEX(Table4046[Benthic status], MATCH(1, (F79=Table22[[Reference zone ]])*(F77=Table22[Sampling zone 1])*(F78=Table22[Sampling zone 2]), 0)), "")</calculatedColumnFormula>
    </tableColumn>
  </tableColumns>
  <tableStyleInfo name="TableStyleMedium13"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66FBF-CDA2-49C6-896C-A0FE097FB59B}" name="Table12" displayName="Table12" ref="C4:K16" totalsRowShown="0" headerRowDxfId="189" dataDxfId="188">
  <tableColumns count="9">
    <tableColumn id="1" xr3:uid="{9BFFBB9E-8E54-4B8C-8ECD-B6933AF1D5DF}" name="Site name" dataDxfId="187"/>
    <tableColumn id="2" xr3:uid="{C27D6207-F4E9-4966-B6A4-855AA62D8E73}" name="Sampling date (dd-mm-yyyy)" dataDxfId="186"/>
    <tableColumn id="3" xr3:uid="{35FCE28E-E477-47B1-BAE9-593C36F49215}" name="Abiotic indicator" dataDxfId="185"/>
    <tableColumn id="4" xr3:uid="{287C09DD-5555-46CB-9916-4028F72CB3E4}" name="Direction compared to water flow" dataDxfId="184"/>
    <tableColumn id="5" xr3:uid="{4A5B397E-0085-416C-BFA2-6D770DE9CF6D}" name="EQS sampling zone" dataDxfId="183"/>
    <tableColumn id="6" xr3:uid="{850D20BE-8DD8-4239-BCB9-50E0ABA3F6F8}" name="Distance from edge of cages (m)" dataDxfId="182"/>
    <tableColumn id="7" xr3:uid="{278F18A4-9A55-4DA0-9B90-4CDE660E0E06}" name="Avg. value - sample 1" dataDxfId="181"/>
    <tableColumn id="8" xr3:uid="{39C158D9-1AF2-4B88-A1E2-B9BC8C49401F}" name="Avg. value - sample 2" dataDxfId="180"/>
    <tableColumn id="9" xr3:uid="{ED5D2EEF-AD24-47D6-9096-61A0F0AF8734}" name="Notes" dataDxfId="179"/>
  </tableColumns>
  <tableStyleInfo name="TableStyleMedium13"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CEF95AEC-DC0A-42E3-B988-B5D27AA8D2CD}" name="Table13" displayName="Table13" ref="C20:K56" totalsRowShown="0" headerRowDxfId="178" dataDxfId="177">
  <tableColumns count="9">
    <tableColumn id="1" xr3:uid="{6C6D42D8-3770-449B-903F-6D5DCBA3121B}" name="Site name" dataDxfId="176"/>
    <tableColumn id="2" xr3:uid="{677AA187-8855-4E33-B9F4-7D58FD078143}" name="Sampling date (dd-mm-yyyy)" dataDxfId="175"/>
    <tableColumn id="3" xr3:uid="{708C2752-E2A6-4383-8460-37F7F15FAA78}" name="Abiotic indicator" dataDxfId="174"/>
    <tableColumn id="4" xr3:uid="{AD48BECA-0C3D-4286-B044-885E893A826A}" name="Direction compared to water flow" dataDxfId="173"/>
    <tableColumn id="5" xr3:uid="{C0A63796-D97C-4EFC-9918-D5AE8DF02FAD}" name="EQS sampling zone" dataDxfId="172"/>
    <tableColumn id="6" xr3:uid="{479DE1E8-9880-4CF1-8876-8570ADF4A2DD}" name="Distance from edge of cages (m)" dataDxfId="171"/>
    <tableColumn id="7" xr3:uid="{8D8B6AF1-8243-477D-AB85-6033D4F35173}" name="Avg. value - sample 1" dataDxfId="170"/>
    <tableColumn id="8" xr3:uid="{9A6D5451-D441-4B8F-A501-26ADFB1ECF1E}" name="Avg. value - sample 2" dataDxfId="169"/>
    <tableColumn id="9" xr3:uid="{E037B9BA-81C7-4477-90F9-E676D37F4784}" name="Notes" dataDxfId="168"/>
  </tableColumns>
  <tableStyleInfo name="TableStyleMedium13"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4F93C4D-7099-4424-B69D-C00A5C363F42}" name="Table16" displayName="Table16" ref="C60:I72" totalsRowShown="0" headerRowDxfId="167" dataDxfId="166">
  <tableColumns count="7">
    <tableColumn id="1" xr3:uid="{87C991FD-F6D9-4EBE-B3CB-CFD959212C44}" name="Site name" dataDxfId="165"/>
    <tableColumn id="2" xr3:uid="{9F02BB14-DD97-499E-8B32-DCB06E933DAE}" name="Abiotic indicator" dataDxfId="164"/>
    <tableColumn id="3" xr3:uid="{4E49E873-E3CB-4C93-BCE1-22435CCA4134}" name="EQS sampling zone" dataDxfId="163"/>
    <tableColumn id="4" xr3:uid="{5474F939-63A5-4403-9E0D-27AC3924F02B}" name="Avg. indicator value" dataDxfId="162"/>
    <tableColumn id="7" xr3:uid="{D73D2521-65AD-4BBF-B608-FD9C825B2D13}" name="TAN threshold (mg/L)" dataDxfId="161"/>
    <tableColumn id="5" xr3:uid="{4E84A0BE-4C39-4CBE-833C-5F13A9575A91}" name="EQS category" dataDxfId="160">
      <calculatedColumnFormula array="1" xml:space="preserve"> INDEX('Benthic - L&amp;R Level 1 &amp; 2'!$AF$5:$AF$28, MATCH(1, ('Benthic - L&amp;R Level 1 &amp; 2'!$D61='Benthic - L&amp;R Level 1 &amp; 2'!$AC$5:$AC$28)*('Benthic - L&amp;R Level 1 &amp; 2'!$F61&gt;='Benthic - L&amp;R Level 1 &amp; 2'!$AD$5:$AD$28)*('Benthic - L&amp;R Level 1 &amp; 2'!$F61&lt;'Benthic - L&amp;R Level 1 &amp; 2'!$AE$5:$AE$28),0))</calculatedColumnFormula>
    </tableColumn>
    <tableColumn id="6" xr3:uid="{B6FC529E-F347-4510-BBBF-5E99A81F9242}" name="Indicator EQS score" dataDxfId="159">
      <calculatedColumnFormula array="1">_xlfn.IFS(Table16[[#This Row],[EQS category]]="Bad",5,Table16[[#This Row],[EQS category]]="Poor/Bad",5, Table16[[#This Row],[EQS category]]="Poor",4, Table16[[#This Row],[EQS category]]="Moderate",3, Table16[[#This Row],[EQS category]]="Good",2,Table16[[#This Row],[EQS category]]="Good/High",1, Table16[[#This Row],[EQS category]]="High",1)</calculatedColumnFormula>
    </tableColumn>
  </tableColumns>
  <tableStyleInfo name="TableStyleMedium13"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36A66047-32BD-4657-97E9-C7530899D417}" name="Table2022" displayName="Table2022" ref="AC40:AG45" totalsRowShown="0" headerRowDxfId="158" dataDxfId="157">
  <autoFilter ref="AC40:AG45" xr:uid="{36A66047-32BD-4657-97E9-C7530899D417}"/>
  <tableColumns count="5">
    <tableColumn id="1" xr3:uid="{A84E02D4-1A93-4F39-9884-6D6A9D3D35FC}" name="EQS category ref" dataDxfId="156"/>
    <tableColumn id="2" xr3:uid="{18A74D09-0A22-49E5-AA25-5D31AF203EC5}" name="Larger than" dataDxfId="155"/>
    <tableColumn id="3" xr3:uid="{7AB27C04-E25F-4F9D-942F-7668332E4B41}" name="Equal or smaller than" dataDxfId="154"/>
    <tableColumn id="4" xr3:uid="{EE82BD8B-414F-4799-A7CA-D8EE8A853511}" name="Zone EQS score per indicator" dataDxfId="153"/>
    <tableColumn id="5" xr3:uid="{313FED1E-399B-4522-8F00-6316238ABEEE}" name="Notes" dataDxfId="152"/>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1EFE553B-E9B8-46EA-A7F8-5C7EE42393D0}" name="Table37" displayName="Table37" ref="C4:K12" totalsRowShown="0" headerRowDxfId="434" dataDxfId="433">
  <tableColumns count="9">
    <tableColumn id="1" xr3:uid="{7ED26C2C-1285-4CAC-9514-0DB1B7A1EE32}" name="Site name" dataDxfId="432"/>
    <tableColumn id="2" xr3:uid="{B323AA11-5C29-4706-A09C-044A50DD14F5}" name="Sampling date (dd-mm-yyyy)" dataDxfId="431"/>
    <tableColumn id="10" xr3:uid="{7CFE17EA-7E6E-48DB-9A6C-209A5760B72C}" name="Abiotic indicator (select)" dataDxfId="430"/>
    <tableColumn id="5" xr3:uid="{B3018058-80BE-4999-83BD-DC798BDDA55D}" name="Direction compared to water flow" dataDxfId="429"/>
    <tableColumn id="3" xr3:uid="{F136074F-BAB2-4E91-8401-CAE3D1DC8184}" name="EQS sampling zone" dataDxfId="428"/>
    <tableColumn id="4" xr3:uid="{D505A6D4-4654-4DE9-996E-0697EB463F9D}" name="Distance from edge of cages (m)" dataDxfId="427"/>
    <tableColumn id="6" xr3:uid="{EBD5921A-E25C-4EC6-ABA9-343CD01ABC31}" name="Avg. value - sample 1" dataDxfId="426"/>
    <tableColumn id="7" xr3:uid="{2072617C-888C-41AA-9D62-CB7D06009DFE}" name="Avg. value - sample 2" dataDxfId="425"/>
    <tableColumn id="9" xr3:uid="{3693E89F-1747-42E2-AB9B-27CA2E824696}" name="Notes" dataDxfId="424"/>
  </tableColumns>
  <tableStyleInfo name="TableStyleMedium13"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32CDD2BB-C202-4861-81BA-A9E201C1B491}" name="Table18" displayName="Table18" ref="AC4:AH28" totalsRowShown="0" headerRowDxfId="151" dataDxfId="150" tableBorderDxfId="149">
  <autoFilter ref="AC4:AH28" xr:uid="{32CDD2BB-C202-4861-81BA-A9E201C1B491}"/>
  <tableColumns count="6">
    <tableColumn id="1" xr3:uid="{2A5646CB-2A74-43F8-9207-592281C5D3C9}" name="Abiotic index ref" dataDxfId="148"/>
    <tableColumn id="2" xr3:uid="{256C0896-4027-4990-A83C-0055562BDB7E}" name="EQS sampling zone" dataDxfId="147"/>
    <tableColumn id="3" xr3:uid="{4388F79D-CE37-4998-8441-98CAA999263B}" name="Equal or larger than" dataDxfId="146"/>
    <tableColumn id="4" xr3:uid="{6F1A2F21-C6F1-49C5-9502-A5184BFF3460}" name="smaller than" dataDxfId="145"/>
    <tableColumn id="5" xr3:uid="{7E3420BD-227E-456D-A3EF-B8CA8CE5929B}" name="EQS category ref" dataDxfId="144"/>
    <tableColumn id="6" xr3:uid="{B62BD480-A9AF-43D1-A913-92EFC7DD8655}" name="Notes" dataDxfId="143"/>
  </tableColumns>
  <tableStyleInfo name="TableStyleMedium13"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B627F175-8E4D-4B66-87E4-1923553B48F6}" name="Table22" displayName="Table22" ref="AK4:AN129" totalsRowShown="0" headerRowDxfId="142" dataDxfId="141">
  <autoFilter ref="AK4:AN129" xr:uid="{B627F175-8E4D-4B66-87E4-1923553B48F6}"/>
  <tableColumns count="4">
    <tableColumn id="1" xr3:uid="{85623516-7B74-4CA2-BB56-2D7F96797823}" name="Reference zone " dataDxfId="140"/>
    <tableColumn id="2" xr3:uid="{42630834-D712-4796-AF18-A32A85A1FF6E}" name="Sampling zone 1" dataDxfId="139"/>
    <tableColumn id="3" xr3:uid="{B6C833EF-B8F9-440B-9948-0ABD987CC0BD}" name="Sampling zone 2" dataDxfId="138"/>
    <tableColumn id="4" xr3:uid="{FC919BF0-9C64-4E36-A01F-8FCE70720CCD}" name="Benthic status" dataDxfId="137"/>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781458CE-FBFD-4E11-BEBE-60BA3BFB423F}" name="Table28" displayName="Table28" ref="AC31:AI34" totalsRowShown="0" headerRowDxfId="136" dataDxfId="135">
  <autoFilter ref="AC31:AI34" xr:uid="{781458CE-FBFD-4E11-BEBE-60BA3BFB423F}"/>
  <tableColumns count="7">
    <tableColumn id="1" xr3:uid="{B16B1F57-1EAA-455F-A8D6-59DF9F0A7EE0}" name="Abiotic index ref" dataDxfId="134"/>
    <tableColumn id="2" xr3:uid="{7AF313E0-342A-49D9-83DE-CE483EFD73D5}" name="EQS sampling zone" dataDxfId="133"/>
    <tableColumn id="3" xr3:uid="{867DC50E-C39E-4CD7-8154-342C545B2612}" name="TAB threshold" dataDxfId="132"/>
    <tableColumn id="4" xr3:uid="{A4F12951-7651-4A95-B5B1-2A7A581C2B88}" name="Column2" dataDxfId="131"/>
    <tableColumn id="5" xr3:uid="{AFBA0853-D1DF-46BB-9BA7-9A068E858A4C}" name="Column3" dataDxfId="130"/>
    <tableColumn id="6" xr3:uid="{22C6A73E-2C08-44FD-9D60-4DEDE783011B}" name="Column1" dataDxfId="129"/>
    <tableColumn id="7" xr3:uid="{1546F85F-69FD-443F-AD04-C2E99A7C965C}" name="Notes" dataDxfId="128"/>
  </tableColumns>
  <tableStyleInfo name="TableStyleMedium13"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50908CED-F693-4C4A-8C5A-F16AC12A041C}" name="Table5663" displayName="Table5663" ref="C44:H53" totalsRowShown="0" headerRowDxfId="127" dataDxfId="126">
  <tableColumns count="6">
    <tableColumn id="9" xr3:uid="{EC440E7F-03A7-456D-AC6C-FE0E6421D377}" name="Site name" dataDxfId="125"/>
    <tableColumn id="2" xr3:uid="{90F5A09F-7DE1-4372-92BE-7C45D25DED17}" name="Biotic indicator" dataDxfId="124"/>
    <tableColumn id="3" xr3:uid="{F6EDEC7B-251F-404C-9EF9-6A9FB697685D}" name="EQS sampling zone" dataDxfId="123"/>
    <tableColumn id="5" xr3:uid="{542AB920-295C-4893-8694-578D5DE6B520}" name="Average indicator value" dataDxfId="122">
      <calculatedColumnFormula>AVERAGE(I5:J5)</calculatedColumnFormula>
    </tableColumn>
    <tableColumn id="8" xr3:uid="{6F38E8C7-F9E3-4E22-8F89-067C4C065D59}" name="EQS category" dataDxfId="121">
      <calculatedColumnFormula array="1">IFERROR(INDEX(Table967[EQS category ref], MATCH(1, (Table5663[[#This Row],[Biotic indicator]]=Table967[Biotic index ref])*(Table5663[[#This Row],[Average indicator value]]&gt;=Table967[Equal or larger than])*(Table5663[[#This Row],[Average indicator value]]&lt;Table967[smaller than]),0)),"")</calculatedColumnFormula>
    </tableColumn>
    <tableColumn id="1" xr3:uid="{2EAA01BB-FBBB-44E2-A4D4-C7DB97BFA6C3}" name="Indicator EQS score" dataDxfId="120">
      <calculatedColumnFormula array="1">IFERROR(_xlfn.IFS(Table5663[[#This Row],[EQS category]]="Bad",5, Table5663[[#This Row],[EQS category]]="Poor",4, Table5663[[#This Row],[EQS category]]="Moderate",3, Table5663[[#This Row],[EQS category]]="Good",2, Table5663[[#This Row],[EQS category]]="High",1),"")</calculatedColumnFormula>
    </tableColumn>
  </tableColumns>
  <tableStyleInfo name="TableStyleMedium13"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D842C6E7-E869-4AB4-B37B-E9C9A418966C}" name="Table5764" displayName="Table5764" ref="C57:F60" totalsRowShown="0" headerRowDxfId="119" dataDxfId="118">
  <tableColumns count="4">
    <tableColumn id="1" xr3:uid="{E09A8245-FC5E-46A4-8E5C-E0ACD944D53A}" name="Site name " dataDxfId="117">
      <calculatedColumnFormula>C45</calculatedColumnFormula>
    </tableColumn>
    <tableColumn id="3" xr3:uid="{44E2C59C-0503-464B-84E9-A86B1FF8922F}" name="EQS sampling zone" dataDxfId="116">
      <calculatedColumnFormula>Table5663[[#This Row],[EQS sampling zone]]</calculatedColumnFormula>
    </tableColumn>
    <tableColumn id="4" xr3:uid="{FD9381A6-D32B-4786-9411-85B7792FBDC5}" name="Zone EQS score" dataDxfId="115"/>
    <tableColumn id="2" xr3:uid="{F9C3C2E4-4042-4B38-BBA0-B910CBCE8DB1}" name="Zone EQS category" dataDxfId="114">
      <calculatedColumnFormula array="1">IFERROR(INDEX(Table20151828[EQS category ref], MATCH(1,(Table5764[[#This Row],[Zone EQS score]]&gt;Table20151828[Larger than])*(Table5764[[#This Row],[Zone EQS score]]&lt;=Table20151828[Equal or smaller than]),0)),"")</calculatedColumnFormula>
    </tableColumn>
  </tableColumns>
  <tableStyleInfo name="TableStyleMedium13"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754B504D-781A-4489-A5C3-B8856CF547E1}" name="Table5865" displayName="Table5865" ref="C64:D65" totalsRowShown="0" headerRowDxfId="113" dataDxfId="112">
  <tableColumns count="2">
    <tableColumn id="1" xr3:uid="{147E3D6A-B52A-4F9D-91B9-29F0118797A6}" name="Site name" dataDxfId="111">
      <calculatedColumnFormula>C58</calculatedColumnFormula>
    </tableColumn>
    <tableColumn id="3" xr3:uid="{FD551146-B239-4593-9987-35FB3C214C6C}" name="Benthic status - Level 3" dataDxfId="110">
      <calculatedColumnFormula array="1">IFERROR(INDEX(Table40682627[Benthic status], MATCH(1, (F60=Table40682627[[Reference zone ]])*(F58=Table40682627[Farm monitoring zone 1])*(F59=Table40682627[Farm monitoring zone 2]),0)),"")</calculatedColumnFormula>
    </tableColumn>
  </tableColumns>
  <tableStyleInfo name="TableStyleMedium13"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2AD6CC6A-483F-4DC7-8EA6-9182E5990C3A}" name="Table166" displayName="Table166" ref="C4:K40" totalsRowShown="0" headerRowDxfId="109" dataDxfId="108">
  <tableColumns count="9">
    <tableColumn id="1" xr3:uid="{4321864F-C07C-43D4-B3C2-BF4831DEC716}" name="Site name" dataDxfId="107"/>
    <tableColumn id="2" xr3:uid="{EFE185F1-B58C-4CB5-8C5E-8009067CF398}" name="Sampling date (dd-mm-yyyy)" dataDxfId="106"/>
    <tableColumn id="6" xr3:uid="{B70D16D3-0B18-44F6-B22B-4A27952D1301}" name="Biotic indicator (select)" dataDxfId="105"/>
    <tableColumn id="5" xr3:uid="{D473C220-F529-407E-B630-4706285F11E0}" name="Direction compared to water flow" dataDxfId="104"/>
    <tableColumn id="3" xr3:uid="{7C42E813-FE30-4FF9-86F0-993504982A09}" name="EQS sampling zone" dataDxfId="103"/>
    <tableColumn id="4" xr3:uid="{A052A371-5891-4596-9EA5-453FE8166A68}" name="Distance from edge of cages (m)" dataDxfId="102"/>
    <tableColumn id="7" xr3:uid="{36341142-B6A1-4839-A39B-DF7F4DB4C4B9}" name="Avg. value - sample 1" dataDxfId="101"/>
    <tableColumn id="9" xr3:uid="{329FC103-E3FB-4692-81F2-5B8789D6F368}" name="Avg. value - sample 2" dataDxfId="100"/>
    <tableColumn id="10" xr3:uid="{04641FA8-21F5-41FE-B2FA-42FD56CEFD46}" name="Notes" dataDxfId="99"/>
  </tableColumns>
  <tableStyleInfo name="TableStyleMedium13"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CC855F28-0E4D-49C5-B401-3E4486933969}" name="Table967" displayName="Table967" ref="AB4:AF84" totalsRowShown="0" headerRowDxfId="98" dataDxfId="97">
  <tableColumns count="5">
    <tableColumn id="1" xr3:uid="{289674C1-168B-46CE-8707-73E77B67D670}" name="Biotic index ref" dataDxfId="96"/>
    <tableColumn id="2" xr3:uid="{599F1170-AD6F-4E60-BDB6-B64899E32937}" name="Equal or larger than" dataDxfId="95"/>
    <tableColumn id="5" xr3:uid="{16158353-1F39-4B2E-8D17-304AC3C01392}" name="smaller than" dataDxfId="94"/>
    <tableColumn id="3" xr3:uid="{EF8B63AE-EED0-4118-94CC-01FBDBD5C1B5}" name="EQS category ref" dataDxfId="93"/>
    <tableColumn id="4" xr3:uid="{F0BAADDD-1783-45CF-BEA5-3103BEFC398B}" name="Notes" dataDxfId="92"/>
  </tableColumns>
  <tableStyleInfo name="TableStyleMedium13"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AAE3692C-36FE-4C18-A5B5-FD46C8FDCBEF}" name="Table40682627" displayName="Table40682627" ref="AH4:AK129" totalsRowShown="0" headerRowDxfId="91" dataDxfId="90">
  <autoFilter ref="AH4:AK129" xr:uid="{AAE3692C-36FE-4C18-A5B5-FD46C8FDCBEF}"/>
  <tableColumns count="4">
    <tableColumn id="1" xr3:uid="{C0523177-A449-403C-836D-0C85CABD1813}" name="Reference zone " dataDxfId="89"/>
    <tableColumn id="2" xr3:uid="{4A2FC011-C4EA-4FF7-9B31-7EA31366D092}" name="Farm monitoring zone 1" dataDxfId="88"/>
    <tableColumn id="3" xr3:uid="{18F9B915-D25B-4268-8FDD-80FDE5304593}" name="Farm monitoring zone 2" dataDxfId="87"/>
    <tableColumn id="5" xr3:uid="{AEC2B96C-4CA5-47CC-8980-7527726AE7F8}" name="Benthic status" dataDxfId="86"/>
  </tableColumns>
  <tableStyleInfo name="TableStyleMedium13"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BB2B9184-8B8E-40E5-B202-2B0EF86305AD}" name="Table20151828" displayName="Table20151828" ref="AB88:AF93" totalsRowShown="0" headerRowDxfId="85" dataDxfId="84">
  <autoFilter ref="AB88:AF93" xr:uid="{BB2B9184-8B8E-40E5-B202-2B0EF86305AD}"/>
  <tableColumns count="5">
    <tableColumn id="1" xr3:uid="{DA7572FC-6716-429E-ACE7-E3F545423FC3}" name="EQS category ref" dataDxfId="83"/>
    <tableColumn id="2" xr3:uid="{8E57316A-A1DE-4235-8BB4-9C97D8E781B5}" name="Larger than" dataDxfId="82"/>
    <tableColumn id="3" xr3:uid="{9126011E-029E-43EA-B9A5-B411BAB798E1}" name="Equal or smaller than" dataDxfId="81"/>
    <tableColumn id="4" xr3:uid="{9DB722FF-A688-4230-A881-F0A6BA9E59FC}" name="Zone EQS score per indicator" dataDxfId="80"/>
    <tableColumn id="5" xr3:uid="{F8349861-DFEC-451F-BC78-CEFAD1B85DEA}" name="Notes" dataDxfId="79"/>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8DDBCC5-94B2-44D8-988E-E46FE2D75354}" name="Table47" displayName="Table47" ref="C44:H52" totalsRowShown="0" headerRowDxfId="423" dataDxfId="422">
  <tableColumns count="6">
    <tableColumn id="16" xr3:uid="{A2145E64-8FA0-41A4-B9A8-5F5A87166D9F}" name="Site name" dataDxfId="421"/>
    <tableColumn id="14" xr3:uid="{AA0E4348-6478-4FE5-AA1E-560CC51B34A4}" name="Abiotic indicator" dataDxfId="420"/>
    <tableColumn id="7" xr3:uid="{1E363F1F-F469-43EB-8AD5-CA60BDE6DA3D}" name="EQS sampling zone" dataDxfId="419"/>
    <tableColumn id="3" xr3:uid="{74EF5543-4C7A-433B-830D-99FB55FBE755}" name="Avg. indicator value" dataDxfId="418">
      <calculatedColumnFormula>AVERAGE(#REF!)</calculatedColumnFormula>
    </tableColumn>
    <tableColumn id="5" xr3:uid="{900F56B7-1DCA-47E2-85C2-703978D3B3B3}" name="EQS category" dataDxfId="417" totalsRowDxfId="416">
      <calculatedColumnFormula array="1">IFERROR(INDEX(Table5172[EQS category ref], MATCH(1, (Table47[[#This Row],[Abiotic indicator]]=Table5172[Abiotic index ref])*(Table47[[#This Row],[Avg. indicator value]]&gt;=Table5172[Equal or larger than])*(Table47[[#This Row],[Avg. indicator value]]&lt;Table5172[smaller than]),0)), "")</calculatedColumnFormula>
    </tableColumn>
    <tableColumn id="1" xr3:uid="{2AADC618-CA42-48C6-98EC-B6E2BBA99913}" name="Indicator EQS score" dataDxfId="415">
      <calculatedColumnFormula array="1">IFERROR(_xlfn.IFS(Table47[[#This Row],[EQS category]]="Bad",5, Table47[[#This Row],[EQS category]]="Poor",4, Table47[[#This Row],[EQS category]]="Moderate",3, Table47[[#This Row],[EQS category]]="Good",2, Table47[[#This Row],[EQS category]]="High",1), "")</calculatedColumnFormula>
    </tableColumn>
  </tableColumns>
  <tableStyleInfo name="TableStyleMedium13"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D1423C4-752B-4FD5-B00A-82F26F129D17}" name="Table6" displayName="Table6" ref="C4:L29" totalsRowShown="0" headerRowDxfId="78" dataDxfId="77">
  <tableColumns count="10">
    <tableColumn id="1" xr3:uid="{E5299362-ED7C-40F6-B103-6927FE275EAE}" name="Feed name" dataDxfId="76"/>
    <tableColumn id="2" xr3:uid="{1A7B4BAE-CC56-4D21-9069-9B0915F2A7F8}" name="Product ID" dataDxfId="75"/>
    <tableColumn id="3" xr3:uid="{949948D8-6549-41E7-958A-5E0B7934684F}" name="Fish meal in feed derived from forage fisheries (%)" dataDxfId="74"/>
    <tableColumn id="4" xr3:uid="{8B69F589-2327-436B-8354-F7C13E6C705A}" name="Fish oil in feed derived from forage fisheries (%)" dataDxfId="73"/>
    <tableColumn id="5" xr3:uid="{CA8760DA-392D-4815-BE71-EBADD264BF2F}" name="EPA and DHA content of fish oil (%)" dataDxfId="72"/>
    <tableColumn id="6" xr3:uid="{24E2B2D4-DB5C-412C-A9FA-18162B03BDB0}" name="Fish oil yield per kg fish (%)" dataDxfId="71"/>
    <tableColumn id="7" xr3:uid="{89C84C03-4505-45DD-89AB-092A2E6E3B45}" name="Fish meal yield per kg fish (%)" dataDxfId="70"/>
    <tableColumn id="8" xr3:uid="{454C31F9-0681-4FC1-B070-92E59FAC8CD1}" name="Protein content (%)" dataDxfId="69"/>
    <tableColumn id="11" xr3:uid="{76BF195E-7E65-4780-ADE6-9C717EBA20EB}" name="GMO ingredients (%)" dataDxfId="68"/>
    <tableColumn id="14" xr3:uid="{44832D39-E0D3-468A-B942-190C74EFCCB7}" name="Notes" dataDxfId="67"/>
  </tableColumns>
  <tableStyleInfo name="TableStyleMedium13"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2CBFDF9-E684-4151-B1B5-F36E25C6E808}" name="Table7" displayName="Table7" ref="C33:G100" totalsRowShown="0" headerRowDxfId="66" dataDxfId="65">
  <tableColumns count="5">
    <tableColumn id="2" xr3:uid="{194F001F-7A66-4CD2-8D9F-6CBE3103A70D}" name="Species in production (select)" dataDxfId="64"/>
    <tableColumn id="3" xr3:uid="{9EBE185A-5845-47A7-914C-08F7B3ABCA75}" name="Cycle ID (select)" dataDxfId="63"/>
    <tableColumn id="11" xr3:uid="{ACBE897F-6E90-4555-BAD7-092AC639D232}" name="Feed name (select)" dataDxfId="62"/>
    <tableColumn id="4" xr3:uid="{4F580E75-9314-47D4-9EA2-E1B6B9B88E64}" name="Feed use (tonnes)" dataDxfId="61"/>
    <tableColumn id="5" xr3:uid="{7A636EEB-156B-4C54-AB47-E3FED5C295B2}" name="Notes" dataDxfId="60"/>
  </tableColumns>
  <tableStyleInfo name="TableStyleMedium13"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4CF5778-D9A4-49FE-B58D-7AC7F43913A9}" name="Table10" displayName="Table10" ref="N4:O29" totalsRowShown="0" headerRowDxfId="59" dataDxfId="58">
  <tableColumns count="2">
    <tableColumn id="1" xr3:uid="{30B5F661-0AEE-466B-A09F-4431B365FF76}" name="Species in production" dataDxfId="57">
      <calculatedColumnFormula>IF('Dropdown tables - Production'!G3= 0, "", 'Dropdown tables - Production'!G3)</calculatedColumnFormula>
    </tableColumn>
    <tableColumn id="2" xr3:uid="{719504EA-E266-4B6E-9CC3-44DF2165987C}" name="Animal protein content (%)" dataDxfId="56"/>
  </tableColumns>
  <tableStyleInfo name="TableStyleMedium13"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DB7AAFF-F9F9-4303-B3B5-29904F0EA5DE}" name="Table11" displayName="Table11" ref="Q4:X29" totalsRowShown="0" headerRowDxfId="55" dataDxfId="54">
  <tableColumns count="8">
    <tableColumn id="3" xr3:uid="{5B9669D3-8B34-4E5B-81B2-690C60D13B52}" name="Species in production" dataDxfId="53">
      <calculatedColumnFormula>IF('Dropdown tables - Production'!G3= 0, "", 'Dropdown tables - Production'!G3)</calculatedColumnFormula>
    </tableColumn>
    <tableColumn id="4" xr3:uid="{99480815-4FBD-4FC2-B70D-7E8AAC6DEFE4}" name="ASC certified net production volume (tonnes)" dataDxfId="52">
      <calculatedColumnFormula>IF(Table11[[#This Row],[Species in production]]= "", "", SUMIFS(Table126[ASC certified net production volume (tonnes)],Table126[Species in production (Latin name) (select)],Feed!Q5))</calculatedColumnFormula>
    </tableColumn>
    <tableColumn id="5" xr3:uid="{6A64E3E7-D02A-4F48-8536-9B1AE4B07300}" name="eFCR" dataDxfId="51">
      <calculatedColumnFormula>IFERROR((SUMIFS(Table7[Feed use (tonnes)],Table7[Species in production (select)],Table11[[#This Row],[Species in production]])/Table11[[#This Row],[ASC certified net production volume (tonnes)]]), "")</calculatedColumnFormula>
    </tableColumn>
    <tableColumn id="6" xr3:uid="{30850BA5-7F06-4889-88B0-567BC0BCFBE8}" name="PRE (%)" dataDxfId="50">
      <calculatedColumnFormula array="1" xml:space="preserve"> IFERROR((((SUMPRODUCT((Q5=Table10[Species in production])*(Table10[Animal protein content (%)]))*R5)/100)/(SUMIFS(Table38[Protein fed per feed type (tonnes)],Table7[Species in production (select)],Table11[[#This Row],[Species in production]]))*100), "")</calculatedColumnFormula>
    </tableColumn>
    <tableColumn id="7" xr3:uid="{35AA3405-EE12-4447-BD9A-493E3956B4AE}" name="FFDRm" dataDxfId="49">
      <calculatedColumnFormula xml:space="preserve"> IFERROR((SUMIFS(Table38[FM%/yield*feed use], Table7[Species in production (select)],Table11[[#This Row],[Species in production]])/SUMIFS(Table7[Feed use (tonnes)],Table7[Species in production (select)], Table11[[#This Row],[Species in production]])*Table11[[#This Row],[eFCR]]), "")</calculatedColumnFormula>
    </tableColumn>
    <tableColumn id="8" xr3:uid="{C2DD8C4E-D619-47C8-AE95-41562898DD6B}" name="FFDRo" dataDxfId="48">
      <calculatedColumnFormula xml:space="preserve"> IFERROR((SUMIFS(Table38[FO%/yield*feed use], Table7[Species in production (select)],Table11[[#This Row],[Species in production]])/SUMIFS(Table7[Feed use (tonnes)], Table7[Species in production (select)], Table11[[#This Row],[Species in production]])*Table11[[#This Row],[eFCR]]), "")</calculatedColumnFormula>
    </tableColumn>
    <tableColumn id="9" xr3:uid="{0D6CCB3D-2528-4553-907B-3D1B55954658}" name="EPA and DHA in feed (g/kg feed)" dataDxfId="47">
      <calculatedColumnFormula xml:space="preserve"> IFERROR((SUMIFS(Table38[total EPA and DHA in feed, per type (g)],Table7[Species in production (select)], Table11[[#This Row],[Species in production]])/(SUMIFS(Table7[Feed use (tonnes)],Table7[Species in production (select)], Table11[[#This Row],[Species in production]])*1000)), "")</calculatedColumnFormula>
    </tableColumn>
    <tableColumn id="1" xr3:uid="{D9B6A487-FEC2-4E22-BFB8-F4E933D1DD61}" name="EPA and DHA in fish oil (%)" dataDxfId="46">
      <calculatedColumnFormula>IFERROR((SUMIFS(Table38[EPA and DHA% * feed use],Table7[Species in production (select)], Table11[[#This Row],[Species in production]])/(SUMIFS(Table7[Feed use (tonnes)],Table7[Species in production (select)], Table11[[#This Row],[Species in production]]))), "")</calculatedColumnFormula>
    </tableColumn>
  </tableColumns>
  <tableStyleInfo name="TableStyleMedium13"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5052A02-71B1-4839-AEC7-805047312E49}" name="Table38" displayName="Table38" ref="Y33:AC100" totalsRowShown="0" headerRowDxfId="45" dataDxfId="43" headerRowBorderDxfId="44" tableBorderDxfId="42" totalsRowBorderDxfId="41">
  <autoFilter ref="Y33:AC100" xr:uid="{45052A02-71B1-4839-AEC7-805047312E49}"/>
  <tableColumns count="5">
    <tableColumn id="1" xr3:uid="{83C038E6-A433-4C99-B9F0-EC03FD64CA6C}" name="Protein fed per feed type (tonnes)" dataDxfId="40">
      <calculatedColumnFormula>IFERROR((VLOOKUP(E34, $C$4:$J$29, 8, 0))/100*F34,"")</calculatedColumnFormula>
    </tableColumn>
    <tableColumn id="3" xr3:uid="{6CA4D03F-15D8-4B2D-865F-70E5600B8F6B}" name="total EPA and DHA in feed, per type (g)" dataDxfId="39">
      <calculatedColumnFormula>IFERROR((VLOOKUP(E34,$C$4:$J$29,4,0))*(VLOOKUP(E34,$C$4:$J$29,5,0))*F34*100,"")</calculatedColumnFormula>
    </tableColumn>
    <tableColumn id="4" xr3:uid="{1D5A1ACD-D403-4197-A2BA-D6F6E2F91733}" name="FO%/yield*feed use" dataDxfId="38">
      <calculatedColumnFormula>IFERROR((VLOOKUP(E34,Table6[#All],4,0))/(VLOOKUP(E34,Table6[#All],6,0))*F34,"")</calculatedColumnFormula>
    </tableColumn>
    <tableColumn id="5" xr3:uid="{B779C2F2-2370-4B6F-827C-DD7C1B3F10F1}" name="FM%/yield*feed use" dataDxfId="37">
      <calculatedColumnFormula>IFERROR((VLOOKUP(E34,Table6[#All],3,0))/(VLOOKUP(E34,Table6[#All],7,0))*F34,"")</calculatedColumnFormula>
    </tableColumn>
    <tableColumn id="2" xr3:uid="{90532AC8-BFB7-4BBE-8F24-A7F9EE8DD8B5}" name="EPA and DHA% * feed use" dataDxfId="36">
      <calculatedColumnFormula>IFERROR((VLOOKUP(E34,$C$4:$J$29,5,0))*F34,"")</calculatedColumnFormula>
    </tableColumn>
  </tableColumns>
  <tableStyleInfo name="TableStyleMedium13"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EF9F505-3E24-4D07-8177-21109696A235}" name="Table225" displayName="Table225" ref="C4:G40" totalsRowShown="0" headerRowDxfId="35" dataDxfId="34">
  <tableColumns count="5">
    <tableColumn id="2" xr3:uid="{1C30C1F8-AE4F-41C5-993D-3AE1E772CD52}" name="Species in production (Latin name) (select)" dataDxfId="33"/>
    <tableColumn id="8" xr3:uid="{5FA96222-5F0A-4223-BE83-7B0C262E15A9}" name="Cycle ID_x000a_(select)" dataDxfId="32"/>
    <tableColumn id="5" xr3:uid="{E06A65CD-8F05-4421-AB2F-3F7DA83E94A2}" name="Mortality count_x000a_(# animals)" dataDxfId="31"/>
    <tableColumn id="4" xr3:uid="{259305E3-CD1B-4B41-9220-A92936EF4236}" name="Mortality cause_x000a_(select)" dataDxfId="30"/>
    <tableColumn id="6" xr3:uid="{7AE5404C-5642-4466-9666-E1539BB8F5D5}" name="Notes" dataDxfId="29"/>
  </tableColumns>
  <tableStyleInfo name="TableStyleMedium13"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2CA4A291-9FD1-4F18-8EAF-9B77E6A20C17}" name="Table34" displayName="Table34" ref="I4:P27" totalsRowShown="0" headerRowDxfId="28" dataDxfId="26" headerRowBorderDxfId="27">
  <tableColumns count="8">
    <tableColumn id="2" xr3:uid="{811DFCC5-B323-4334-89D2-FCA08E99CD76}" name="Species in production" dataDxfId="25">
      <calculatedColumnFormula>'Dropdown tables - Production'!G3</calculatedColumnFormula>
    </tableColumn>
    <tableColumn id="3" xr3:uid="{A9C8C5D1-91C2-4CD5-981A-0F1036793673}" name="Stocking count _x000a_(# animals)" dataDxfId="24">
      <calculatedColumnFormula>IF(IF(I5=0, "", SUMIFS(Table126[Stocking count 
('# animals)],Table126[Species in production (Latin name) (select)],Table34[[#This Row],[Species in production]]))=0, "0",IF(I5=0, "", SUMIFS(Table126[Stocking count 
('# animals)],Table126[Species in production (Latin name) (select)],Table34[[#This Row],[Species in production]])))</calculatedColumnFormula>
    </tableColumn>
    <tableColumn id="10" xr3:uid="{FBB74861-EA2A-4984-9EB9-C18A66E2EAD4}" name="Harvest count (# animals)" dataDxfId="23">
      <calculatedColumnFormula>IF(IF(I5=0, "", SUMIFS(Table126[Harvest count 
('# animals)],Table126[Species in production (Latin name) (select)],Table34[[#This Row],[Species in production]]))=0, "0",IF(I5=0, "", SUMIFS(Table126[Harvest count 
('# animals)],Table126[Species in production (Latin name) (select)],Table34[[#This Row],[Species in production]])))</calculatedColumnFormula>
    </tableColumn>
    <tableColumn id="4" xr3:uid="{5AE8B382-FF79-49C3-B5E1-CB8EB217B69C}" name="ASC certified standing stock, start yr (# animals)" dataDxfId="22">
      <calculatedColumnFormula>IF(IF(I5=0, "", SUMIFS(Table126[Standing stock, start yr ('# animals)],Table126[Species in production (Latin name) (select)],Table34[[#This Row],[Species in production]]))=0, "0",IF(I5=0, "", SUMIFS(Table126[Standing stock, start yr ('# animals)],Table126[Species in production (Latin name) (select)],Table34[[#This Row],[Species in production]])))</calculatedColumnFormula>
    </tableColumn>
    <tableColumn id="1" xr3:uid="{704A71E6-6916-4958-9108-4B76CF4B6F59}" name="ASC certified standing stock, end yr (# animals)" dataDxfId="21">
      <calculatedColumnFormula>IF(IF(I5=0, "", SUMIFS(Table126[Standing stock, end yr ('# animals)],Table126[Species in production (Latin name) (select)],Table34[[#This Row],[Species in production]]))=0, "0",IF(I5=0, "", SUMIFS(Table126[Standing stock, end yr ('# animals)],Table126[Species in production (Latin name) (select)],Table34[[#This Row],[Species in production]])))</calculatedColumnFormula>
    </tableColumn>
    <tableColumn id="6" xr3:uid="{FC51F047-4C87-4AFD-83E8-56F49BE4226B}" name="Mortality count (# animals)" dataDxfId="20">
      <calculatedColumnFormula>IF(I5= 0, "", (SUMIFS(Table225[Mortality count
('# animals)],Table225[Species in production (Latin name) (select)],I5)))</calculatedColumnFormula>
    </tableColumn>
    <tableColumn id="7" xr3:uid="{327FA8C2-E188-426E-BEBD-1FD9011CEFB3}" name="Mortality rate (%)" dataDxfId="19">
      <calculatedColumnFormula>IFERROR((Table34[[#This Row],[Mortality count ('# animals)]]/(Table34[[#This Row],[Stocking count 
('# animals)]]+Table34[[#This Row],[ASC certified standing stock, start yr ('# animals)]]))*100, "")</calculatedColumnFormula>
    </tableColumn>
    <tableColumn id="9" xr3:uid="{EE8F6129-A04E-4B72-8196-10C1DCA624D6}" name="Real percentage mortality (%)" dataDxfId="18">
      <calculatedColumnFormula>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calculatedColumnFormula>
    </tableColumn>
  </tableColumns>
  <tableStyleInfo name="TableStyleMedium13"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0E9B0ED-7B38-4DEA-98D3-4A1D87AC5EEE}" name="Table4" displayName="Table4" ref="C4:M50" totalsRowShown="0" headerRowDxfId="17" dataDxfId="16">
  <tableColumns count="11">
    <tableColumn id="2" xr3:uid="{372033B1-ACE5-428B-B030-4A66D650FA70}" name="Species in production (Latin name) (select)" dataDxfId="15"/>
    <tableColumn id="14" xr3:uid="{0905C81F-5882-4B7D-870C-90305C804E9C}" name="Cycle ID_x000a_(select)" dataDxfId="14"/>
    <tableColumn id="9" xr3:uid="{7DD49E58-26DD-43E1-8C30-28E9EBBF1543}" name="Start date of treatment_x000a_(dd-mm-yyyy)" dataDxfId="13"/>
    <tableColumn id="12" xr3:uid="{927715AD-FC27-4F7D-B820-AE79843CF62F}" name="End date of treatment_x000a_(dd-mm-yyyy)" dataDxfId="12"/>
    <tableColumn id="16" xr3:uid="{C19B84E0-45B7-4556-A2EF-41660069A435}" name="Type of treatment (select)" dataDxfId="11"/>
    <tableColumn id="15" xr3:uid="{DFEC1C36-0754-47A5-B8C9-FDAE51EAA14D}" name="Reason for use" dataDxfId="10"/>
    <tableColumn id="5" xr3:uid="{8FCB593B-18F5-41B4-A0E9-EFF42D2EC10B}" name="Active component name" dataDxfId="9"/>
    <tableColumn id="17" xr3:uid="{6CBBAC2B-5FAE-4732-8E3A-D45A85BDE297}" name="Product name" dataDxfId="8"/>
    <tableColumn id="6" xr3:uid="{106BDAC6-8310-478E-B7A2-C1586185EB4F}" name="WHO classification (select)" dataDxfId="7"/>
    <tableColumn id="10" xr3:uid="{6536A585-12C9-4DC2-9360-238F4A0736CB}" name="Amount of active component (kg)" dataDxfId="6"/>
    <tableColumn id="3" xr3:uid="{394CB27F-3270-4F61-B75C-3765A48C8D3A}" name="Notes" dataDxfId="5"/>
  </tableColumns>
  <tableStyleInfo name="TableStyleMedium13"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34FEB6FF-D75E-413F-94FD-08DCEB36A887}" name="Table15" displayName="Table15" ref="O4:Q27" totalsRowShown="0" headerRowDxfId="4" tableBorderDxfId="3">
  <tableColumns count="3">
    <tableColumn id="1" xr3:uid="{C92CB741-B3B4-45EA-B738-D4608AB41BBF}" name="Species in production" dataDxfId="2">
      <calculatedColumnFormula>IF('Dropdown tables - Production'!G3 = 0, "", 'Dropdown tables - Production'!G3)</calculatedColumnFormula>
    </tableColumn>
    <tableColumn id="2" xr3:uid="{D43C669B-7B31-4E1C-BBA2-71AF477D8DF6}" name="ASC certified net production volume (tonnes)" dataDxfId="1">
      <calculatedColumnFormula>IF(Table15[[#This Row],[Species in production]] = "", "", SUMIFS(Table126[ASC certified net production volume (tonnes)],Table126[Species in production (Latin name) (select)],Table15[[#This Row],[Species in production]]))</calculatedColumnFormula>
    </tableColumn>
    <tableColumn id="3" xr3:uid="{2A02EC67-0DE2-465A-B1D1-4D0D36CACE30}" name="Antibiotic load (kg/tonne)" dataDxfId="0">
      <calculatedColumnFormula>IFERROR((SUMIFS(Table4[Amount of active component (kg)],Table4[Species in production (Latin name) (select)],Table15[[#This Row],[Species in production]],Table4[Type of treatment (select)], "Antibiotic")/Table126[[#This Row],[ASC certified net production volume (tonnes)]]), "")</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FFABE9BD-4B15-4B12-AE09-F4AEAA2490EE}" name="Table48" displayName="Table48" ref="C56:F60" totalsRowShown="0" headerRowDxfId="414" dataDxfId="413">
  <tableColumns count="4">
    <tableColumn id="1" xr3:uid="{CFE86A4D-F11C-42B8-9B28-B701CF313B0A}" name="Site name " dataDxfId="412" totalsRowDxfId="411">
      <calculatedColumnFormula>C47</calculatedColumnFormula>
    </tableColumn>
    <tableColumn id="2" xr3:uid="{ACB73B0D-E96C-4D78-8559-C841EB40FAA6}" name="EQS sampling zone" dataDxfId="410" totalsRowDxfId="409"/>
    <tableColumn id="4" xr3:uid="{CED11FCC-C67A-4233-8219-A02B845E10D6}" name="Zone EQS score" dataDxfId="408" totalsRowDxfId="407">
      <calculatedColumnFormula array="1">_xlfn.IFS(D45= "Total Free Sulphide (S2-UV μM)", (H45*0.75+H46*0.25), D45="Total Free Sulphide (S2-ISE μM)", (H45+H46)/2)</calculatedColumnFormula>
    </tableColumn>
    <tableColumn id="3" xr3:uid="{0743C68F-5966-4A70-B46C-873F99D1071E}" name="Zone EQS category" dataDxfId="406" totalsRowDxfId="405">
      <calculatedColumnFormula array="1">IFERROR(( INDEX(Table20[EQS category ref], MATCH(1,(Table48[[#This Row],[Zone EQS score]]&gt;Table20[Larger than])*(Table48[[#This Row],[Zone EQS score]]&lt;=Table20[Equal or smaller than]),0))), "")</calculatedColumnFormula>
    </tableColumn>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576F5320-2447-495A-826F-EF44E8FB6139}" name="Table5844" displayName="Table5844" ref="C64:D65" totalsRowShown="0" headerRowDxfId="404" dataDxfId="403">
  <tableColumns count="2">
    <tableColumn id="1" xr3:uid="{3A351EEC-79D4-442F-9DA9-81011AA4D06C}" name="Site name" dataDxfId="402">
      <calculatedColumnFormula>C57</calculatedColumnFormula>
    </tableColumn>
    <tableColumn id="3" xr3:uid="{7204A590-CD9D-40D9-8632-C8C62052AECD}" name="Benthic status - _x000a_Level 1 and 2" dataDxfId="401">
      <calculatedColumnFormula array="1">IFERROR((INDEX(Table4046[Benthic status], MATCH(1, (F60=AG5:AG1300)*(F57=AH5:AH1300)*(F58=AI5:AI1300)*(F59=AJ5:AJ1300), 0))), "")</calculatedColumnFormula>
    </tableColumn>
  </tableColumns>
  <tableStyleInfo name="TableStyleMedium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DBD2378A-F48D-42B2-A575-46EF1309EE59}" name="Table4046" displayName="Table4046" ref="AG4:AK1300" totalsRowShown="0" headerRowDxfId="400" dataDxfId="399">
  <autoFilter ref="AG4:AK1300" xr:uid="{DBD2378A-F48D-42B2-A575-46EF1309EE59}"/>
  <tableColumns count="5">
    <tableColumn id="1" xr3:uid="{3EA1411A-4C41-4D55-AEEE-80639787E8A5}" name="Reference zone " dataDxfId="398"/>
    <tableColumn id="2" xr3:uid="{F0A4C6F6-524B-4FBB-A0B6-3D5F4245D22D}" name="Farm monitoring zone 1" dataDxfId="397"/>
    <tableColumn id="3" xr3:uid="{3BB54673-7366-4278-9C96-C538040E0B5A}" name="Farm monitoring zone 2" dataDxfId="396"/>
    <tableColumn id="4" xr3:uid="{C4E14722-5099-437B-87B6-F3E0B11A8AA0}" name="Farm monitoring zone 3" dataDxfId="395"/>
    <tableColumn id="5" xr3:uid="{3EAE8852-9C03-4575-8FD6-F40DD6B87C4F}" name="Benthic status" dataDxfId="394"/>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13ED8AD4-D379-45F9-B898-47B606230DCA}" name="Table61" displayName="Table61" ref="C16:K40" totalsRowShown="0" headerRowDxfId="393" dataDxfId="391" headerRowBorderDxfId="392">
  <tableColumns count="9">
    <tableColumn id="1" xr3:uid="{CAA9160F-5FA4-421A-9299-946021B4C179}" name="Site name" dataDxfId="390">
      <calculatedColumnFormula>C5</calculatedColumnFormula>
    </tableColumn>
    <tableColumn id="2" xr3:uid="{CF6EA3AE-9E3E-4FEA-9F1B-0BD868C02A5D}" name="Sampling date (dd-mm-yyyy)" dataDxfId="389"/>
    <tableColumn id="3" xr3:uid="{FAB004AE-33C6-4DB3-8850-8BDDC11FDF10}" name="Abiotic indicator" dataDxfId="388"/>
    <tableColumn id="4" xr3:uid="{FDAEC016-02E8-4EF5-BB0F-D09116DF50CB}" name="Direction compared to water flow" dataDxfId="387"/>
    <tableColumn id="5" xr3:uid="{BE31E2CE-A096-41D0-B121-A8B1E4C760B3}" name="EQS sampling zone" dataDxfId="386"/>
    <tableColumn id="6" xr3:uid="{E121B30D-3666-4BA1-BAE6-6CF2E14362D5}" name="Distance from edge of cages (m)" dataDxfId="385"/>
    <tableColumn id="7" xr3:uid="{09480A54-B914-4307-BF4D-9BD10D68D530}" name="Avg. value - sample 1" dataDxfId="384"/>
    <tableColumn id="8" xr3:uid="{394F7D11-D322-43DE-A5EC-F891D51FA5F1}" name="Avg. value - sample 2" dataDxfId="383"/>
    <tableColumn id="10" xr3:uid="{71667AB5-E44B-418E-8170-2288F5C05EC9}" name="Notes" dataDxfId="382"/>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myasc.asc-aqua.org/login/" TargetMode="External"/></Relationships>
</file>

<file path=xl/worksheets/_rels/sheet10.xml.rels><?xml version="1.0" encoding="UTF-8" standalone="yes"?>
<Relationships xmlns="http://schemas.openxmlformats.org/package/2006/relationships"><Relationship Id="rId8" Type="http://schemas.openxmlformats.org/officeDocument/2006/relationships/table" Target="../tables/table48.xml"/><Relationship Id="rId3" Type="http://schemas.openxmlformats.org/officeDocument/2006/relationships/table" Target="../tables/table43.xml"/><Relationship Id="rId7" Type="http://schemas.openxmlformats.org/officeDocument/2006/relationships/table" Target="../tables/table47.xml"/><Relationship Id="rId2" Type="http://schemas.openxmlformats.org/officeDocument/2006/relationships/drawing" Target="../drawings/drawing8.xml"/><Relationship Id="rId1" Type="http://schemas.openxmlformats.org/officeDocument/2006/relationships/printerSettings" Target="../printerSettings/printerSettings5.bin"/><Relationship Id="rId6" Type="http://schemas.openxmlformats.org/officeDocument/2006/relationships/table" Target="../tables/table46.xml"/><Relationship Id="rId5" Type="http://schemas.openxmlformats.org/officeDocument/2006/relationships/table" Target="../tables/table45.xml"/><Relationship Id="rId4" Type="http://schemas.openxmlformats.org/officeDocument/2006/relationships/table" Target="../tables/table44.xml"/><Relationship Id="rId9" Type="http://schemas.openxmlformats.org/officeDocument/2006/relationships/table" Target="../tables/table49.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54.xml"/><Relationship Id="rId3" Type="http://schemas.openxmlformats.org/officeDocument/2006/relationships/vmlDrawing" Target="../drawings/vmlDrawing1.vml"/><Relationship Id="rId7" Type="http://schemas.openxmlformats.org/officeDocument/2006/relationships/table" Target="../tables/table53.xml"/><Relationship Id="rId2" Type="http://schemas.openxmlformats.org/officeDocument/2006/relationships/drawing" Target="../drawings/drawing9.xml"/><Relationship Id="rId1" Type="http://schemas.openxmlformats.org/officeDocument/2006/relationships/printerSettings" Target="../printerSettings/printerSettings6.bin"/><Relationship Id="rId6" Type="http://schemas.openxmlformats.org/officeDocument/2006/relationships/table" Target="../tables/table52.xml"/><Relationship Id="rId5" Type="http://schemas.openxmlformats.org/officeDocument/2006/relationships/table" Target="../tables/table51.xml"/><Relationship Id="rId4" Type="http://schemas.openxmlformats.org/officeDocument/2006/relationships/table" Target="../tables/table50.xml"/><Relationship Id="rId9"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56.xml"/><Relationship Id="rId2" Type="http://schemas.openxmlformats.org/officeDocument/2006/relationships/table" Target="../tables/table55.xml"/><Relationship Id="rId1"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57.xml"/><Relationship Id="rId2" Type="http://schemas.openxmlformats.org/officeDocument/2006/relationships/drawing" Target="../drawings/drawing11.xml"/><Relationship Id="rId1" Type="http://schemas.openxmlformats.org/officeDocument/2006/relationships/printerSettings" Target="../printerSettings/printerSettings7.bin"/><Relationship Id="rId4" Type="http://schemas.openxmlformats.org/officeDocument/2006/relationships/table" Target="../tables/table58.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 Id="rId9" Type="http://schemas.openxmlformats.org/officeDocument/2006/relationships/table" Target="../tables/table11.xml"/></Relationships>
</file>

<file path=xl/worksheets/_rels/sheet6.xml.rels><?xml version="1.0" encoding="UTF-8" standalone="yes"?>
<Relationships xmlns="http://schemas.openxmlformats.org/package/2006/relationships"><Relationship Id="rId8" Type="http://schemas.openxmlformats.org/officeDocument/2006/relationships/table" Target="../tables/table17.xml"/><Relationship Id="rId3" Type="http://schemas.openxmlformats.org/officeDocument/2006/relationships/table" Target="../tables/table12.xml"/><Relationship Id="rId7"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5.xml"/><Relationship Id="rId5" Type="http://schemas.openxmlformats.org/officeDocument/2006/relationships/table" Target="../tables/table14.xml"/><Relationship Id="rId4" Type="http://schemas.openxmlformats.org/officeDocument/2006/relationships/table" Target="../tables/table13.xml"/><Relationship Id="rId9" Type="http://schemas.openxmlformats.org/officeDocument/2006/relationships/table" Target="../tables/table18.xml"/></Relationships>
</file>

<file path=xl/worksheets/_rels/sheet7.xml.rels><?xml version="1.0" encoding="UTF-8" standalone="yes"?>
<Relationships xmlns="http://schemas.openxmlformats.org/package/2006/relationships"><Relationship Id="rId8" Type="http://schemas.openxmlformats.org/officeDocument/2006/relationships/table" Target="../tables/table25.xml"/><Relationship Id="rId3" Type="http://schemas.openxmlformats.org/officeDocument/2006/relationships/table" Target="../tables/table20.xml"/><Relationship Id="rId7" Type="http://schemas.openxmlformats.org/officeDocument/2006/relationships/table" Target="../tables/table24.xml"/><Relationship Id="rId2" Type="http://schemas.openxmlformats.org/officeDocument/2006/relationships/table" Target="../tables/table19.xml"/><Relationship Id="rId1" Type="http://schemas.openxmlformats.org/officeDocument/2006/relationships/drawing" Target="../drawings/drawing5.xml"/><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 Id="rId9" Type="http://schemas.openxmlformats.org/officeDocument/2006/relationships/table" Target="../tables/table26.xml"/></Relationships>
</file>

<file path=xl/worksheets/_rels/sheet8.xml.rels><?xml version="1.0" encoding="UTF-8" standalone="yes"?>
<Relationships xmlns="http://schemas.openxmlformats.org/package/2006/relationships"><Relationship Id="rId8" Type="http://schemas.openxmlformats.org/officeDocument/2006/relationships/table" Target="../tables/table33.xml"/><Relationship Id="rId3" Type="http://schemas.openxmlformats.org/officeDocument/2006/relationships/table" Target="../tables/table28.xml"/><Relationship Id="rId7" Type="http://schemas.openxmlformats.org/officeDocument/2006/relationships/table" Target="../tables/table32.xml"/><Relationship Id="rId2" Type="http://schemas.openxmlformats.org/officeDocument/2006/relationships/table" Target="../tables/table27.xml"/><Relationship Id="rId1" Type="http://schemas.openxmlformats.org/officeDocument/2006/relationships/drawing" Target="../drawings/drawing6.xml"/><Relationship Id="rId6" Type="http://schemas.openxmlformats.org/officeDocument/2006/relationships/table" Target="../tables/table31.xml"/><Relationship Id="rId5" Type="http://schemas.openxmlformats.org/officeDocument/2006/relationships/table" Target="../tables/table30.xml"/><Relationship Id="rId4" Type="http://schemas.openxmlformats.org/officeDocument/2006/relationships/table" Target="../tables/table29.xml"/></Relationships>
</file>

<file path=xl/worksheets/_rels/sheet9.xml.rels><?xml version="1.0" encoding="UTF-8" standalone="yes"?>
<Relationships xmlns="http://schemas.openxmlformats.org/package/2006/relationships"><Relationship Id="rId8" Type="http://schemas.openxmlformats.org/officeDocument/2006/relationships/table" Target="../tables/table40.xml"/><Relationship Id="rId3" Type="http://schemas.openxmlformats.org/officeDocument/2006/relationships/table" Target="../tables/table35.xml"/><Relationship Id="rId7" Type="http://schemas.openxmlformats.org/officeDocument/2006/relationships/table" Target="../tables/table39.xml"/><Relationship Id="rId2" Type="http://schemas.openxmlformats.org/officeDocument/2006/relationships/table" Target="../tables/table34.xml"/><Relationship Id="rId1" Type="http://schemas.openxmlformats.org/officeDocument/2006/relationships/drawing" Target="../drawings/drawing7.xml"/><Relationship Id="rId6" Type="http://schemas.openxmlformats.org/officeDocument/2006/relationships/table" Target="../tables/table38.xml"/><Relationship Id="rId5" Type="http://schemas.openxmlformats.org/officeDocument/2006/relationships/table" Target="../tables/table37.xml"/><Relationship Id="rId10" Type="http://schemas.openxmlformats.org/officeDocument/2006/relationships/table" Target="../tables/table42.xml"/><Relationship Id="rId4" Type="http://schemas.openxmlformats.org/officeDocument/2006/relationships/table" Target="../tables/table36.xml"/><Relationship Id="rId9" Type="http://schemas.openxmlformats.org/officeDocument/2006/relationships/table" Target="../tables/table4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11"/>
  <sheetViews>
    <sheetView tabSelected="1" zoomScale="80" zoomScaleNormal="80" workbookViewId="0"/>
  </sheetViews>
  <sheetFormatPr defaultColWidth="8.77734375" defaultRowHeight="16.8" x14ac:dyDescent="0.4"/>
  <cols>
    <col min="1" max="1" width="8.77734375" style="14"/>
    <col min="2" max="2" width="0" style="14" hidden="1" customWidth="1"/>
    <col min="3" max="3" width="147.77734375" style="14" bestFit="1" customWidth="1"/>
    <col min="4" max="16384" width="8.77734375" style="14"/>
  </cols>
  <sheetData>
    <row r="2" spans="2:3" ht="302.39999999999998" x14ac:dyDescent="0.4">
      <c r="C2" s="243" t="s">
        <v>1930</v>
      </c>
    </row>
    <row r="3" spans="2:3" ht="84" x14ac:dyDescent="0.4">
      <c r="C3" s="244" t="s">
        <v>1929</v>
      </c>
    </row>
    <row r="4" spans="2:3" ht="117.6" x14ac:dyDescent="0.4">
      <c r="C4" s="244" t="s">
        <v>1922</v>
      </c>
    </row>
    <row r="5" spans="2:3" ht="50.4" x14ac:dyDescent="0.4">
      <c r="C5" s="245" t="s">
        <v>35</v>
      </c>
    </row>
    <row r="7" spans="2:3" x14ac:dyDescent="0.4">
      <c r="C7" s="240" t="s">
        <v>36</v>
      </c>
    </row>
    <row r="8" spans="2:3" x14ac:dyDescent="0.4">
      <c r="C8" s="242" t="s">
        <v>37</v>
      </c>
    </row>
    <row r="10" spans="2:3" x14ac:dyDescent="0.4">
      <c r="C10" s="240" t="s">
        <v>38</v>
      </c>
    </row>
    <row r="11" spans="2:3" x14ac:dyDescent="0.4">
      <c r="B11" s="14">
        <v>99.9</v>
      </c>
      <c r="C11" s="241" t="s">
        <v>1931</v>
      </c>
    </row>
  </sheetData>
  <sheetProtection algorithmName="SHA-512" hashValue="TPycn2m3GZSzTF0ApPWNDd/ypFjGbmu4cjml3JSo+6Wv7ew8gEZS2CCwxWnq5Bjet+QALtiaJKwbvvuRPcrRuA==" saltValue="rPTOoB2JgnlOXR4K0JSUig==" spinCount="100000" sheet="1" objects="1" scenarios="1"/>
  <hyperlinks>
    <hyperlink ref="C8" r:id="rId1" xr:uid="{2A5E0066-64FF-4487-BBDF-28433E716A25}"/>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48D22-573D-4C9D-96F2-ACBA009F95F0}">
  <sheetPr codeName="Sheet13">
    <tabColor theme="9" tint="0.59999389629810485"/>
  </sheetPr>
  <dimension ref="C1:AO1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5" width="28.21875" style="14" customWidth="1"/>
    <col min="6" max="6" width="23.5546875" style="14" customWidth="1"/>
    <col min="7" max="7" width="18.21875" style="14" customWidth="1"/>
    <col min="8" max="8" width="17.21875" style="14" customWidth="1"/>
    <col min="9" max="9" width="15.21875" style="14" customWidth="1"/>
    <col min="10" max="10" width="14.77734375" style="14" customWidth="1"/>
    <col min="11" max="11" width="17.21875" style="14" customWidth="1"/>
    <col min="12" max="27" width="9" style="14" customWidth="1"/>
    <col min="28" max="37" width="9" style="14" hidden="1" customWidth="1"/>
    <col min="38" max="40" width="9" style="14" customWidth="1"/>
    <col min="41" max="16384" width="9" style="14"/>
  </cols>
  <sheetData>
    <row r="1" spans="3:41" x14ac:dyDescent="0.4">
      <c r="V1" s="19"/>
      <c r="W1" s="19"/>
      <c r="X1" s="19"/>
      <c r="Y1" s="19"/>
      <c r="Z1" s="19"/>
      <c r="AA1" s="19"/>
      <c r="AB1" s="19"/>
      <c r="AC1" s="19"/>
    </row>
    <row r="2" spans="3:41" x14ac:dyDescent="0.4">
      <c r="D2" s="17" t="s">
        <v>1909</v>
      </c>
      <c r="AB2" s="17" t="s">
        <v>130</v>
      </c>
      <c r="AH2" s="17" t="s">
        <v>72</v>
      </c>
    </row>
    <row r="3" spans="3:41" hidden="1" x14ac:dyDescent="0.4">
      <c r="C3" s="14">
        <v>8.1</v>
      </c>
      <c r="D3" s="14">
        <v>8.1999999999999993</v>
      </c>
      <c r="E3" s="14">
        <v>8.3000000000000007</v>
      </c>
      <c r="F3" s="14">
        <v>8.4</v>
      </c>
      <c r="G3" s="14">
        <v>8.5</v>
      </c>
      <c r="H3" s="14">
        <v>8.6</v>
      </c>
      <c r="I3" s="14">
        <v>8.6999999999999993</v>
      </c>
      <c r="J3" s="14">
        <v>8.8000000000000007</v>
      </c>
      <c r="K3" s="14">
        <v>8.9</v>
      </c>
      <c r="AI3" s="19"/>
    </row>
    <row r="4" spans="3:41" ht="37.5" customHeight="1" x14ac:dyDescent="0.4">
      <c r="C4" s="62" t="s">
        <v>40</v>
      </c>
      <c r="D4" s="57" t="s">
        <v>73</v>
      </c>
      <c r="E4" s="57" t="s">
        <v>132</v>
      </c>
      <c r="F4" s="91" t="s">
        <v>75</v>
      </c>
      <c r="G4" s="58" t="s">
        <v>76</v>
      </c>
      <c r="H4" s="91" t="s">
        <v>77</v>
      </c>
      <c r="I4" s="91" t="s">
        <v>78</v>
      </c>
      <c r="J4" s="91" t="s">
        <v>79</v>
      </c>
      <c r="K4" s="59" t="s">
        <v>52</v>
      </c>
      <c r="L4" s="61"/>
      <c r="S4" s="61"/>
      <c r="AB4" s="14" t="s">
        <v>133</v>
      </c>
      <c r="AC4" s="14" t="s">
        <v>81</v>
      </c>
      <c r="AD4" s="14" t="s">
        <v>82</v>
      </c>
      <c r="AE4" s="14" t="s">
        <v>83</v>
      </c>
      <c r="AF4" s="14" t="s">
        <v>52</v>
      </c>
      <c r="AH4" s="80" t="s">
        <v>84</v>
      </c>
      <c r="AI4" s="14" t="s">
        <v>85</v>
      </c>
      <c r="AJ4" s="14" t="s">
        <v>86</v>
      </c>
      <c r="AK4" s="82" t="s">
        <v>88</v>
      </c>
    </row>
    <row r="5" spans="3:41" x14ac:dyDescent="0.4">
      <c r="C5" s="66" t="str">
        <f>IF('Site and production details'!C5= 0, "", 'Site and production details'!C5)</f>
        <v/>
      </c>
      <c r="D5" s="151"/>
      <c r="E5" s="228" t="s">
        <v>89</v>
      </c>
      <c r="F5" s="186" t="s">
        <v>90</v>
      </c>
      <c r="G5" s="145" t="s">
        <v>91</v>
      </c>
      <c r="H5" s="313" t="s">
        <v>92</v>
      </c>
      <c r="I5" s="186"/>
      <c r="J5" s="186"/>
      <c r="K5" s="168"/>
      <c r="AB5" s="14" t="s">
        <v>181</v>
      </c>
      <c r="AE5" s="14" t="s">
        <v>94</v>
      </c>
      <c r="AH5" s="14" t="s">
        <v>97</v>
      </c>
      <c r="AI5" s="14" t="s">
        <v>97</v>
      </c>
      <c r="AJ5" s="14" t="s">
        <v>97</v>
      </c>
      <c r="AK5" s="14" t="s">
        <v>98</v>
      </c>
    </row>
    <row r="6" spans="3:41" x14ac:dyDescent="0.4">
      <c r="C6" s="66" t="str">
        <f>C5</f>
        <v/>
      </c>
      <c r="D6" s="151"/>
      <c r="E6" s="229" t="str">
        <f>IF(E5 = "Select", "", E5)</f>
        <v/>
      </c>
      <c r="F6" s="30" t="s">
        <v>90</v>
      </c>
      <c r="G6" s="66" t="s">
        <v>99</v>
      </c>
      <c r="H6" s="314" t="s">
        <v>100</v>
      </c>
      <c r="I6" s="30"/>
      <c r="J6" s="30"/>
      <c r="K6" s="169"/>
      <c r="AB6" s="14" t="s">
        <v>181</v>
      </c>
      <c r="AE6" s="14" t="s">
        <v>101</v>
      </c>
      <c r="AH6" s="14" t="s">
        <v>97</v>
      </c>
      <c r="AI6" s="14" t="s">
        <v>97</v>
      </c>
      <c r="AJ6" s="14" t="s">
        <v>96</v>
      </c>
      <c r="AK6" s="14" t="s">
        <v>98</v>
      </c>
      <c r="AL6" s="19"/>
    </row>
    <row r="7" spans="3:41" x14ac:dyDescent="0.4">
      <c r="C7" s="66" t="str">
        <f t="shared" ref="C7:C40" si="0">C6</f>
        <v/>
      </c>
      <c r="D7" s="151"/>
      <c r="E7" s="229" t="str">
        <f t="shared" ref="E7:E16" si="1">IF(E6 = "Select", "", E6)</f>
        <v/>
      </c>
      <c r="F7" s="30" t="s">
        <v>90</v>
      </c>
      <c r="G7" s="66" t="s">
        <v>105</v>
      </c>
      <c r="H7" s="314">
        <v>150</v>
      </c>
      <c r="I7" s="30"/>
      <c r="J7" s="30"/>
      <c r="K7" s="169"/>
      <c r="AB7" s="14" t="s">
        <v>181</v>
      </c>
      <c r="AE7" s="14" t="s">
        <v>104</v>
      </c>
      <c r="AH7" s="14" t="s">
        <v>97</v>
      </c>
      <c r="AI7" s="14" t="s">
        <v>97</v>
      </c>
      <c r="AJ7" s="14" t="s">
        <v>104</v>
      </c>
      <c r="AK7" s="14" t="s">
        <v>98</v>
      </c>
      <c r="AL7" s="19"/>
    </row>
    <row r="8" spans="3:41" x14ac:dyDescent="0.4">
      <c r="C8" s="66" t="str">
        <f t="shared" si="0"/>
        <v/>
      </c>
      <c r="D8" s="151"/>
      <c r="E8" s="229" t="str">
        <f t="shared" si="1"/>
        <v/>
      </c>
      <c r="F8" s="186" t="s">
        <v>112</v>
      </c>
      <c r="G8" s="145" t="s">
        <v>91</v>
      </c>
      <c r="H8" s="313" t="s">
        <v>92</v>
      </c>
      <c r="I8" s="186"/>
      <c r="J8" s="186"/>
      <c r="K8" s="168"/>
      <c r="AB8" s="14" t="s">
        <v>181</v>
      </c>
      <c r="AE8" s="14" t="s">
        <v>96</v>
      </c>
      <c r="AH8" s="14" t="s">
        <v>97</v>
      </c>
      <c r="AI8" s="14" t="s">
        <v>97</v>
      </c>
      <c r="AJ8" s="14" t="s">
        <v>101</v>
      </c>
      <c r="AK8" s="14" t="s">
        <v>98</v>
      </c>
      <c r="AL8" s="19"/>
    </row>
    <row r="9" spans="3:41" x14ac:dyDescent="0.4">
      <c r="C9" s="66" t="str">
        <f t="shared" si="0"/>
        <v/>
      </c>
      <c r="D9" s="151"/>
      <c r="E9" s="229" t="str">
        <f t="shared" si="1"/>
        <v/>
      </c>
      <c r="F9" s="30" t="s">
        <v>112</v>
      </c>
      <c r="G9" s="66" t="s">
        <v>99</v>
      </c>
      <c r="H9" s="314" t="s">
        <v>100</v>
      </c>
      <c r="I9" s="30"/>
      <c r="J9" s="30"/>
      <c r="K9" s="169"/>
      <c r="AB9" s="14" t="s">
        <v>181</v>
      </c>
      <c r="AE9" s="14" t="s">
        <v>97</v>
      </c>
      <c r="AF9" s="14" t="s">
        <v>137</v>
      </c>
      <c r="AH9" s="14" t="s">
        <v>97</v>
      </c>
      <c r="AI9" s="14" t="s">
        <v>97</v>
      </c>
      <c r="AJ9" s="14" t="s">
        <v>94</v>
      </c>
      <c r="AK9" s="14" t="s">
        <v>98</v>
      </c>
      <c r="AN9" s="19"/>
      <c r="AO9" s="19"/>
    </row>
    <row r="10" spans="3:41" x14ac:dyDescent="0.4">
      <c r="C10" s="66" t="str">
        <f t="shared" si="0"/>
        <v/>
      </c>
      <c r="D10" s="151"/>
      <c r="E10" s="229" t="str">
        <f t="shared" si="1"/>
        <v/>
      </c>
      <c r="F10" s="30" t="s">
        <v>112</v>
      </c>
      <c r="G10" s="66" t="s">
        <v>105</v>
      </c>
      <c r="H10" s="314">
        <v>150</v>
      </c>
      <c r="I10" s="30"/>
      <c r="J10" s="30"/>
      <c r="K10" s="169"/>
      <c r="Y10" s="19"/>
      <c r="Z10" s="19"/>
      <c r="AA10" s="19"/>
      <c r="AB10" s="14" t="s">
        <v>93</v>
      </c>
      <c r="AE10" s="14" t="s">
        <v>94</v>
      </c>
      <c r="AF10" s="14" t="s">
        <v>137</v>
      </c>
      <c r="AH10" s="14" t="s">
        <v>97</v>
      </c>
      <c r="AI10" s="14" t="s">
        <v>96</v>
      </c>
      <c r="AJ10" s="14" t="s">
        <v>97</v>
      </c>
      <c r="AK10" s="14" t="s">
        <v>98</v>
      </c>
      <c r="AN10" s="19"/>
      <c r="AO10" s="19"/>
    </row>
    <row r="11" spans="3:41" x14ac:dyDescent="0.4">
      <c r="C11" s="66" t="str">
        <f t="shared" si="0"/>
        <v/>
      </c>
      <c r="D11" s="151"/>
      <c r="E11" s="229" t="str">
        <f t="shared" si="1"/>
        <v/>
      </c>
      <c r="F11" s="186" t="s">
        <v>113</v>
      </c>
      <c r="G11" s="145" t="s">
        <v>91</v>
      </c>
      <c r="H11" s="313" t="s">
        <v>92</v>
      </c>
      <c r="I11" s="186"/>
      <c r="J11" s="186"/>
      <c r="K11" s="168"/>
      <c r="AB11" s="14" t="s">
        <v>93</v>
      </c>
      <c r="AE11" s="14" t="s">
        <v>101</v>
      </c>
      <c r="AF11" s="14" t="s">
        <v>137</v>
      </c>
      <c r="AH11" s="14" t="s">
        <v>97</v>
      </c>
      <c r="AI11" s="14" t="s">
        <v>96</v>
      </c>
      <c r="AJ11" s="14" t="s">
        <v>96</v>
      </c>
      <c r="AK11" s="14" t="s">
        <v>98</v>
      </c>
      <c r="AN11" s="19"/>
      <c r="AO11" s="19"/>
    </row>
    <row r="12" spans="3:41" x14ac:dyDescent="0.4">
      <c r="C12" s="66" t="str">
        <f t="shared" si="0"/>
        <v/>
      </c>
      <c r="D12" s="151"/>
      <c r="E12" s="229" t="str">
        <f t="shared" si="1"/>
        <v/>
      </c>
      <c r="F12" s="30" t="s">
        <v>113</v>
      </c>
      <c r="G12" s="66" t="s">
        <v>99</v>
      </c>
      <c r="H12" s="314" t="s">
        <v>100</v>
      </c>
      <c r="I12" s="30"/>
      <c r="J12" s="30"/>
      <c r="K12" s="169"/>
      <c r="AB12" s="14" t="s">
        <v>93</v>
      </c>
      <c r="AE12" s="14" t="s">
        <v>104</v>
      </c>
      <c r="AH12" s="14" t="s">
        <v>97</v>
      </c>
      <c r="AI12" s="14" t="s">
        <v>96</v>
      </c>
      <c r="AJ12" s="14" t="s">
        <v>104</v>
      </c>
      <c r="AK12" s="14" t="s">
        <v>98</v>
      </c>
      <c r="AN12" s="19"/>
      <c r="AO12" s="19"/>
    </row>
    <row r="13" spans="3:41" x14ac:dyDescent="0.4">
      <c r="C13" s="66" t="str">
        <f t="shared" si="0"/>
        <v/>
      </c>
      <c r="D13" s="151"/>
      <c r="E13" s="229" t="str">
        <f t="shared" si="1"/>
        <v/>
      </c>
      <c r="F13" s="30" t="s">
        <v>113</v>
      </c>
      <c r="G13" s="66" t="s">
        <v>105</v>
      </c>
      <c r="H13" s="314">
        <v>150</v>
      </c>
      <c r="I13" s="30"/>
      <c r="J13" s="30"/>
      <c r="K13" s="169"/>
      <c r="Y13" s="19"/>
      <c r="Z13" s="19"/>
      <c r="AA13" s="19"/>
      <c r="AB13" s="14" t="s">
        <v>93</v>
      </c>
      <c r="AE13" s="14" t="s">
        <v>96</v>
      </c>
      <c r="AH13" s="14" t="s">
        <v>97</v>
      </c>
      <c r="AI13" s="14" t="s">
        <v>96</v>
      </c>
      <c r="AJ13" s="14" t="s">
        <v>101</v>
      </c>
      <c r="AK13" s="14" t="s">
        <v>98</v>
      </c>
    </row>
    <row r="14" spans="3:41" x14ac:dyDescent="0.4">
      <c r="C14" s="66" t="str">
        <f t="shared" si="0"/>
        <v/>
      </c>
      <c r="D14" s="151"/>
      <c r="E14" s="229" t="str">
        <f t="shared" si="1"/>
        <v/>
      </c>
      <c r="F14" s="186" t="s">
        <v>118</v>
      </c>
      <c r="G14" s="145" t="s">
        <v>91</v>
      </c>
      <c r="H14" s="313" t="s">
        <v>92</v>
      </c>
      <c r="I14" s="186"/>
      <c r="J14" s="186"/>
      <c r="K14" s="168"/>
      <c r="AB14" s="14" t="s">
        <v>93</v>
      </c>
      <c r="AE14" s="14" t="s">
        <v>97</v>
      </c>
      <c r="AF14" s="14" t="s">
        <v>107</v>
      </c>
      <c r="AH14" s="14" t="s">
        <v>97</v>
      </c>
      <c r="AI14" s="14" t="s">
        <v>96</v>
      </c>
      <c r="AJ14" s="14" t="s">
        <v>94</v>
      </c>
      <c r="AK14" s="14" t="s">
        <v>98</v>
      </c>
    </row>
    <row r="15" spans="3:41" x14ac:dyDescent="0.4">
      <c r="C15" s="66" t="str">
        <f t="shared" si="0"/>
        <v/>
      </c>
      <c r="D15" s="151"/>
      <c r="E15" s="229" t="str">
        <f t="shared" si="1"/>
        <v/>
      </c>
      <c r="F15" s="30" t="s">
        <v>118</v>
      </c>
      <c r="G15" s="66" t="s">
        <v>99</v>
      </c>
      <c r="H15" s="314" t="s">
        <v>100</v>
      </c>
      <c r="I15" s="30"/>
      <c r="J15" s="30"/>
      <c r="K15" s="169"/>
      <c r="AB15" s="14" t="s">
        <v>136</v>
      </c>
      <c r="AC15" s="154">
        <v>80.000010000000003</v>
      </c>
      <c r="AD15" s="154">
        <v>10000000</v>
      </c>
      <c r="AE15" s="14" t="s">
        <v>94</v>
      </c>
      <c r="AF15" s="14" t="s">
        <v>137</v>
      </c>
      <c r="AH15" s="14" t="s">
        <v>97</v>
      </c>
      <c r="AI15" s="14" t="s">
        <v>104</v>
      </c>
      <c r="AJ15" s="14" t="s">
        <v>97</v>
      </c>
      <c r="AK15" s="14" t="s">
        <v>98</v>
      </c>
    </row>
    <row r="16" spans="3:41" x14ac:dyDescent="0.4">
      <c r="C16" s="66" t="str">
        <f t="shared" si="0"/>
        <v/>
      </c>
      <c r="D16" s="151"/>
      <c r="E16" s="229" t="str">
        <f t="shared" si="1"/>
        <v/>
      </c>
      <c r="F16" s="30" t="s">
        <v>118</v>
      </c>
      <c r="G16" s="66" t="s">
        <v>105</v>
      </c>
      <c r="H16" s="314">
        <v>150</v>
      </c>
      <c r="I16" s="30"/>
      <c r="J16" s="30"/>
      <c r="K16" s="169"/>
      <c r="O16" s="67"/>
      <c r="AB16" s="14" t="s">
        <v>136</v>
      </c>
      <c r="AC16" s="154">
        <v>50</v>
      </c>
      <c r="AD16" s="154">
        <v>80.000010000000003</v>
      </c>
      <c r="AE16" s="14" t="s">
        <v>101</v>
      </c>
      <c r="AH16" s="14" t="s">
        <v>97</v>
      </c>
      <c r="AI16" s="14" t="s">
        <v>104</v>
      </c>
      <c r="AJ16" s="14" t="s">
        <v>96</v>
      </c>
      <c r="AK16" s="14" t="s">
        <v>98</v>
      </c>
    </row>
    <row r="17" spans="3:37" x14ac:dyDescent="0.4">
      <c r="C17" s="66" t="str">
        <f t="shared" si="0"/>
        <v/>
      </c>
      <c r="D17" s="151"/>
      <c r="E17" s="228" t="s">
        <v>89</v>
      </c>
      <c r="F17" s="186" t="s">
        <v>90</v>
      </c>
      <c r="G17" s="145" t="s">
        <v>91</v>
      </c>
      <c r="H17" s="313" t="str">
        <f>H5</f>
        <v>0-30</v>
      </c>
      <c r="I17" s="186"/>
      <c r="J17" s="186"/>
      <c r="K17" s="168"/>
      <c r="AB17" s="14" t="s">
        <v>136</v>
      </c>
      <c r="AC17" s="154">
        <v>35</v>
      </c>
      <c r="AD17" s="154">
        <v>50</v>
      </c>
      <c r="AE17" s="14" t="s">
        <v>104</v>
      </c>
      <c r="AH17" s="14" t="s">
        <v>97</v>
      </c>
      <c r="AI17" s="14" t="s">
        <v>104</v>
      </c>
      <c r="AJ17" s="14" t="s">
        <v>104</v>
      </c>
      <c r="AK17" s="14" t="s">
        <v>98</v>
      </c>
    </row>
    <row r="18" spans="3:37" x14ac:dyDescent="0.4">
      <c r="C18" s="66" t="str">
        <f t="shared" si="0"/>
        <v/>
      </c>
      <c r="D18" s="151"/>
      <c r="E18" s="229" t="str">
        <f>IF(E17 = "Select", "", E17)</f>
        <v/>
      </c>
      <c r="F18" s="30" t="s">
        <v>90</v>
      </c>
      <c r="G18" s="66" t="s">
        <v>99</v>
      </c>
      <c r="H18" s="314" t="str">
        <f t="shared" ref="H18:H40" si="2">H6</f>
        <v>31-100</v>
      </c>
      <c r="I18" s="30"/>
      <c r="J18" s="30"/>
      <c r="K18" s="169"/>
      <c r="AB18" s="14" t="s">
        <v>136</v>
      </c>
      <c r="AC18" s="154">
        <v>15</v>
      </c>
      <c r="AD18" s="154">
        <v>35</v>
      </c>
      <c r="AE18" s="14" t="s">
        <v>96</v>
      </c>
      <c r="AH18" s="14" t="s">
        <v>97</v>
      </c>
      <c r="AI18" s="14" t="s">
        <v>104</v>
      </c>
      <c r="AJ18" s="14" t="s">
        <v>101</v>
      </c>
      <c r="AK18" s="14" t="s">
        <v>98</v>
      </c>
    </row>
    <row r="19" spans="3:37" x14ac:dyDescent="0.4">
      <c r="C19" s="66" t="str">
        <f t="shared" si="0"/>
        <v/>
      </c>
      <c r="D19" s="151"/>
      <c r="E19" s="229" t="str">
        <f>IF(E17 = "Select", "", E17)</f>
        <v/>
      </c>
      <c r="F19" s="187" t="s">
        <v>90</v>
      </c>
      <c r="G19" s="146" t="s">
        <v>105</v>
      </c>
      <c r="H19" s="315">
        <f t="shared" si="2"/>
        <v>150</v>
      </c>
      <c r="I19" s="187"/>
      <c r="J19" s="187"/>
      <c r="K19" s="170"/>
      <c r="AB19" s="14" t="s">
        <v>136</v>
      </c>
      <c r="AC19" s="154">
        <v>0</v>
      </c>
      <c r="AD19" s="154">
        <v>15</v>
      </c>
      <c r="AE19" s="14" t="s">
        <v>97</v>
      </c>
      <c r="AF19" s="14" t="s">
        <v>107</v>
      </c>
      <c r="AH19" s="14" t="s">
        <v>97</v>
      </c>
      <c r="AI19" s="14" t="s">
        <v>104</v>
      </c>
      <c r="AJ19" s="14" t="s">
        <v>94</v>
      </c>
      <c r="AK19" s="14" t="s">
        <v>98</v>
      </c>
    </row>
    <row r="20" spans="3:37" x14ac:dyDescent="0.4">
      <c r="C20" s="66" t="str">
        <f t="shared" si="0"/>
        <v/>
      </c>
      <c r="D20" s="151"/>
      <c r="E20" s="229" t="str">
        <f>IF(E17 = "Select", "", E17)</f>
        <v/>
      </c>
      <c r="F20" s="186" t="s">
        <v>112</v>
      </c>
      <c r="G20" s="145" t="s">
        <v>91</v>
      </c>
      <c r="H20" s="313" t="str">
        <f t="shared" si="2"/>
        <v>0-30</v>
      </c>
      <c r="I20" s="186"/>
      <c r="J20" s="186"/>
      <c r="K20" s="168"/>
      <c r="AB20" s="14" t="s">
        <v>138</v>
      </c>
      <c r="AC20" s="154">
        <v>0</v>
      </c>
      <c r="AD20" s="154">
        <v>20</v>
      </c>
      <c r="AE20" s="14" t="s">
        <v>94</v>
      </c>
      <c r="AF20" s="14" t="s">
        <v>107</v>
      </c>
      <c r="AH20" s="14" t="s">
        <v>97</v>
      </c>
      <c r="AI20" s="14" t="s">
        <v>101</v>
      </c>
      <c r="AJ20" s="14" t="s">
        <v>97</v>
      </c>
      <c r="AK20" s="14" t="s">
        <v>98</v>
      </c>
    </row>
    <row r="21" spans="3:37" x14ac:dyDescent="0.4">
      <c r="C21" s="66" t="str">
        <f t="shared" si="0"/>
        <v/>
      </c>
      <c r="D21" s="151"/>
      <c r="E21" s="229" t="str">
        <f>IF(E17 = "Select", "", E17)</f>
        <v/>
      </c>
      <c r="F21" s="30" t="s">
        <v>112</v>
      </c>
      <c r="G21" s="66" t="s">
        <v>99</v>
      </c>
      <c r="H21" s="314" t="str">
        <f t="shared" si="2"/>
        <v>31-100</v>
      </c>
      <c r="I21" s="30"/>
      <c r="J21" s="30"/>
      <c r="K21" s="169"/>
      <c r="AB21" s="14" t="s">
        <v>138</v>
      </c>
      <c r="AC21" s="154">
        <v>20</v>
      </c>
      <c r="AD21" s="154">
        <v>40.000010000000003</v>
      </c>
      <c r="AE21" s="14" t="s">
        <v>101</v>
      </c>
      <c r="AH21" s="14" t="s">
        <v>97</v>
      </c>
      <c r="AI21" s="14" t="s">
        <v>101</v>
      </c>
      <c r="AJ21" s="14" t="s">
        <v>96</v>
      </c>
      <c r="AK21" s="14" t="s">
        <v>98</v>
      </c>
    </row>
    <row r="22" spans="3:37" x14ac:dyDescent="0.4">
      <c r="C22" s="66" t="str">
        <f t="shared" si="0"/>
        <v/>
      </c>
      <c r="D22" s="151"/>
      <c r="E22" s="229" t="str">
        <f>IF(E17 = "Select", "", E17)</f>
        <v/>
      </c>
      <c r="F22" s="187" t="s">
        <v>112</v>
      </c>
      <c r="G22" s="146" t="s">
        <v>105</v>
      </c>
      <c r="H22" s="315">
        <f t="shared" si="2"/>
        <v>150</v>
      </c>
      <c r="I22" s="187"/>
      <c r="J22" s="187"/>
      <c r="K22" s="170"/>
      <c r="AB22" s="14" t="s">
        <v>138</v>
      </c>
      <c r="AC22" s="154">
        <v>40.000010000000003</v>
      </c>
      <c r="AD22" s="154">
        <v>60.000010000000003</v>
      </c>
      <c r="AE22" s="14" t="s">
        <v>104</v>
      </c>
      <c r="AH22" s="14" t="s">
        <v>97</v>
      </c>
      <c r="AI22" s="14" t="s">
        <v>101</v>
      </c>
      <c r="AJ22" s="14" t="s">
        <v>104</v>
      </c>
      <c r="AK22" s="14" t="s">
        <v>98</v>
      </c>
    </row>
    <row r="23" spans="3:37" x14ac:dyDescent="0.4">
      <c r="C23" s="66" t="str">
        <f t="shared" si="0"/>
        <v/>
      </c>
      <c r="D23" s="151"/>
      <c r="E23" s="229" t="str">
        <f>IF(E17 = "Select", "", E17)</f>
        <v/>
      </c>
      <c r="F23" s="186" t="s">
        <v>113</v>
      </c>
      <c r="G23" s="145" t="s">
        <v>91</v>
      </c>
      <c r="H23" s="313" t="str">
        <f t="shared" si="2"/>
        <v>0-30</v>
      </c>
      <c r="I23" s="186"/>
      <c r="J23" s="186"/>
      <c r="K23" s="168"/>
      <c r="AB23" s="14" t="s">
        <v>138</v>
      </c>
      <c r="AC23" s="154">
        <v>60.000010000000003</v>
      </c>
      <c r="AD23" s="154">
        <v>80.000010000000003</v>
      </c>
      <c r="AE23" s="14" t="s">
        <v>96</v>
      </c>
      <c r="AH23" s="14" t="s">
        <v>97</v>
      </c>
      <c r="AI23" s="14" t="s">
        <v>101</v>
      </c>
      <c r="AJ23" s="14" t="s">
        <v>101</v>
      </c>
      <c r="AK23" s="14" t="s">
        <v>98</v>
      </c>
    </row>
    <row r="24" spans="3:37" x14ac:dyDescent="0.4">
      <c r="C24" s="66" t="str">
        <f t="shared" si="0"/>
        <v/>
      </c>
      <c r="D24" s="151"/>
      <c r="E24" s="229" t="str">
        <f>IF(E17 = "Select", "", E17)</f>
        <v/>
      </c>
      <c r="F24" s="30" t="s">
        <v>113</v>
      </c>
      <c r="G24" s="66" t="s">
        <v>99</v>
      </c>
      <c r="H24" s="314" t="str">
        <f t="shared" si="2"/>
        <v>31-100</v>
      </c>
      <c r="I24" s="30"/>
      <c r="J24" s="30"/>
      <c r="K24" s="169"/>
      <c r="AB24" s="14" t="s">
        <v>138</v>
      </c>
      <c r="AC24" s="154">
        <v>80.000010000000003</v>
      </c>
      <c r="AD24" s="154">
        <v>10000000</v>
      </c>
      <c r="AE24" s="14" t="s">
        <v>97</v>
      </c>
      <c r="AF24" s="14" t="s">
        <v>137</v>
      </c>
      <c r="AH24" s="14" t="s">
        <v>97</v>
      </c>
      <c r="AI24" s="14" t="s">
        <v>101</v>
      </c>
      <c r="AJ24" s="14" t="s">
        <v>94</v>
      </c>
      <c r="AK24" s="14" t="s">
        <v>98</v>
      </c>
    </row>
    <row r="25" spans="3:37" x14ac:dyDescent="0.4">
      <c r="C25" s="66" t="str">
        <f t="shared" si="0"/>
        <v/>
      </c>
      <c r="D25" s="151"/>
      <c r="E25" s="229" t="str">
        <f>IF(E17 = "Select", "", E17)</f>
        <v/>
      </c>
      <c r="F25" s="187" t="s">
        <v>113</v>
      </c>
      <c r="G25" s="146" t="s">
        <v>105</v>
      </c>
      <c r="H25" s="315">
        <f t="shared" si="2"/>
        <v>150</v>
      </c>
      <c r="I25" s="187"/>
      <c r="J25" s="187"/>
      <c r="K25" s="170"/>
      <c r="AB25" s="14" t="s">
        <v>139</v>
      </c>
      <c r="AC25" s="154">
        <v>0</v>
      </c>
      <c r="AD25" s="154">
        <v>3.1E-2</v>
      </c>
      <c r="AE25" s="14" t="s">
        <v>94</v>
      </c>
      <c r="AH25" s="14" t="s">
        <v>97</v>
      </c>
      <c r="AI25" s="14" t="s">
        <v>94</v>
      </c>
      <c r="AJ25" s="14" t="s">
        <v>97</v>
      </c>
      <c r="AK25" s="14" t="s">
        <v>98</v>
      </c>
    </row>
    <row r="26" spans="3:37" x14ac:dyDescent="0.4">
      <c r="C26" s="66" t="str">
        <f t="shared" si="0"/>
        <v/>
      </c>
      <c r="D26" s="151"/>
      <c r="E26" s="229" t="str">
        <f>IF(E17 = "Select", "", E17)</f>
        <v/>
      </c>
      <c r="F26" s="186" t="s">
        <v>118</v>
      </c>
      <c r="G26" s="145" t="s">
        <v>91</v>
      </c>
      <c r="H26" s="313" t="str">
        <f t="shared" si="2"/>
        <v>0-30</v>
      </c>
      <c r="I26" s="186"/>
      <c r="J26" s="186"/>
      <c r="K26" s="168"/>
      <c r="AB26" s="14" t="s">
        <v>139</v>
      </c>
      <c r="AC26" s="154">
        <v>3.1E-2</v>
      </c>
      <c r="AD26" s="154">
        <v>0.12600001</v>
      </c>
      <c r="AE26" s="14" t="s">
        <v>101</v>
      </c>
      <c r="AH26" s="14" t="s">
        <v>97</v>
      </c>
      <c r="AI26" s="14" t="s">
        <v>94</v>
      </c>
      <c r="AJ26" s="14" t="s">
        <v>96</v>
      </c>
      <c r="AK26" s="14" t="s">
        <v>98</v>
      </c>
    </row>
    <row r="27" spans="3:37" x14ac:dyDescent="0.4">
      <c r="C27" s="66" t="str">
        <f t="shared" si="0"/>
        <v/>
      </c>
      <c r="D27" s="151"/>
      <c r="E27" s="229" t="str">
        <f>IF(E17 = "Select", "", E17)</f>
        <v/>
      </c>
      <c r="F27" s="30" t="s">
        <v>118</v>
      </c>
      <c r="G27" s="66" t="s">
        <v>99</v>
      </c>
      <c r="H27" s="314" t="str">
        <f t="shared" si="2"/>
        <v>31-100</v>
      </c>
      <c r="I27" s="30"/>
      <c r="J27" s="30"/>
      <c r="K27" s="169"/>
      <c r="AB27" s="14" t="s">
        <v>139</v>
      </c>
      <c r="AC27" s="154">
        <v>0.12600001</v>
      </c>
      <c r="AD27" s="154">
        <v>0.18700000999999999</v>
      </c>
      <c r="AE27" s="14" t="s">
        <v>104</v>
      </c>
      <c r="AH27" s="14" t="s">
        <v>97</v>
      </c>
      <c r="AI27" s="14" t="s">
        <v>94</v>
      </c>
      <c r="AJ27" s="14" t="s">
        <v>104</v>
      </c>
      <c r="AK27" s="14" t="s">
        <v>98</v>
      </c>
    </row>
    <row r="28" spans="3:37" x14ac:dyDescent="0.4">
      <c r="C28" s="66" t="str">
        <f t="shared" si="0"/>
        <v/>
      </c>
      <c r="D28" s="151"/>
      <c r="E28" s="229" t="str">
        <f>IF(E17 = "Select", "", E17)</f>
        <v/>
      </c>
      <c r="F28" s="187" t="s">
        <v>118</v>
      </c>
      <c r="G28" s="146" t="s">
        <v>105</v>
      </c>
      <c r="H28" s="315">
        <f t="shared" si="2"/>
        <v>150</v>
      </c>
      <c r="I28" s="187"/>
      <c r="J28" s="187"/>
      <c r="K28" s="170"/>
      <c r="AB28" s="14" t="s">
        <v>139</v>
      </c>
      <c r="AC28" s="154">
        <v>0.18700000999999999</v>
      </c>
      <c r="AD28" s="154">
        <v>0.23700001000000001</v>
      </c>
      <c r="AE28" s="14" t="s">
        <v>96</v>
      </c>
      <c r="AH28" s="14" t="s">
        <v>97</v>
      </c>
      <c r="AI28" s="14" t="s">
        <v>94</v>
      </c>
      <c r="AJ28" s="14" t="s">
        <v>101</v>
      </c>
      <c r="AK28" s="14" t="s">
        <v>98</v>
      </c>
    </row>
    <row r="29" spans="3:37" x14ac:dyDescent="0.4">
      <c r="C29" s="66" t="str">
        <f t="shared" si="0"/>
        <v/>
      </c>
      <c r="D29" s="151"/>
      <c r="E29" s="228" t="s">
        <v>89</v>
      </c>
      <c r="F29" s="186" t="s">
        <v>90</v>
      </c>
      <c r="G29" s="145" t="s">
        <v>91</v>
      </c>
      <c r="H29" s="313" t="str">
        <f>H17</f>
        <v>0-30</v>
      </c>
      <c r="I29" s="186"/>
      <c r="J29" s="186"/>
      <c r="K29" s="168"/>
      <c r="AB29" s="14" t="s">
        <v>139</v>
      </c>
      <c r="AC29" s="154">
        <v>0.23700001000000001</v>
      </c>
      <c r="AD29" s="154">
        <v>10000000</v>
      </c>
      <c r="AE29" s="14" t="s">
        <v>97</v>
      </c>
      <c r="AF29" s="14" t="s">
        <v>137</v>
      </c>
      <c r="AH29" s="14" t="s">
        <v>97</v>
      </c>
      <c r="AI29" s="14" t="s">
        <v>94</v>
      </c>
      <c r="AJ29" s="14" t="s">
        <v>94</v>
      </c>
      <c r="AK29" s="14" t="s">
        <v>98</v>
      </c>
    </row>
    <row r="30" spans="3:37" x14ac:dyDescent="0.4">
      <c r="C30" s="66" t="str">
        <f t="shared" si="0"/>
        <v/>
      </c>
      <c r="D30" s="151"/>
      <c r="E30" s="229" t="str">
        <f>IF(E29 = "Select", "", E29)</f>
        <v/>
      </c>
      <c r="F30" s="30" t="s">
        <v>90</v>
      </c>
      <c r="G30" s="66" t="s">
        <v>99</v>
      </c>
      <c r="H30" s="314" t="str">
        <f t="shared" si="2"/>
        <v>31-100</v>
      </c>
      <c r="I30" s="30"/>
      <c r="J30" s="30"/>
      <c r="K30" s="169"/>
      <c r="AB30" s="14" t="s">
        <v>140</v>
      </c>
      <c r="AC30" s="154">
        <v>0</v>
      </c>
      <c r="AD30" s="154">
        <v>1.2</v>
      </c>
      <c r="AE30" s="14" t="s">
        <v>94</v>
      </c>
      <c r="AF30" s="14" t="s">
        <v>107</v>
      </c>
      <c r="AH30" s="14" t="s">
        <v>96</v>
      </c>
      <c r="AI30" s="14" t="s">
        <v>97</v>
      </c>
      <c r="AJ30" s="14" t="s">
        <v>97</v>
      </c>
      <c r="AK30" s="14" t="s">
        <v>98</v>
      </c>
    </row>
    <row r="31" spans="3:37" x14ac:dyDescent="0.4">
      <c r="C31" s="66" t="str">
        <f t="shared" si="0"/>
        <v/>
      </c>
      <c r="D31" s="151"/>
      <c r="E31" s="229" t="str">
        <f>IF(E29 = "Select", "", E29)</f>
        <v/>
      </c>
      <c r="F31" s="187" t="s">
        <v>90</v>
      </c>
      <c r="G31" s="146" t="s">
        <v>105</v>
      </c>
      <c r="H31" s="315">
        <f t="shared" si="2"/>
        <v>150</v>
      </c>
      <c r="I31" s="187"/>
      <c r="J31" s="187"/>
      <c r="K31" s="170"/>
      <c r="AB31" s="14" t="s">
        <v>140</v>
      </c>
      <c r="AC31" s="154">
        <v>1.2000010000000001</v>
      </c>
      <c r="AD31" s="154">
        <v>3.0000100000000001</v>
      </c>
      <c r="AE31" s="14" t="s">
        <v>101</v>
      </c>
      <c r="AH31" s="14" t="s">
        <v>96</v>
      </c>
      <c r="AI31" s="14" t="s">
        <v>97</v>
      </c>
      <c r="AJ31" s="14" t="s">
        <v>96</v>
      </c>
      <c r="AK31" s="14" t="s">
        <v>98</v>
      </c>
    </row>
    <row r="32" spans="3:37" x14ac:dyDescent="0.4">
      <c r="C32" s="66" t="str">
        <f t="shared" si="0"/>
        <v/>
      </c>
      <c r="D32" s="151"/>
      <c r="E32" s="229" t="str">
        <f>IF(E29 = "Select", "", E29)</f>
        <v/>
      </c>
      <c r="F32" s="186" t="s">
        <v>112</v>
      </c>
      <c r="G32" s="145" t="s">
        <v>91</v>
      </c>
      <c r="H32" s="313" t="str">
        <f t="shared" si="2"/>
        <v>0-30</v>
      </c>
      <c r="I32" s="186"/>
      <c r="J32" s="186"/>
      <c r="K32" s="168"/>
      <c r="AB32" s="14" t="s">
        <v>140</v>
      </c>
      <c r="AC32" s="154">
        <v>3.0000100000000001</v>
      </c>
      <c r="AD32" s="154">
        <v>3.9000010000000001</v>
      </c>
      <c r="AE32" s="14" t="s">
        <v>104</v>
      </c>
      <c r="AH32" s="14" t="s">
        <v>96</v>
      </c>
      <c r="AI32" s="14" t="s">
        <v>97</v>
      </c>
      <c r="AJ32" s="14" t="s">
        <v>104</v>
      </c>
      <c r="AK32" s="14" t="s">
        <v>98</v>
      </c>
    </row>
    <row r="33" spans="3:37" x14ac:dyDescent="0.4">
      <c r="C33" s="66" t="str">
        <f t="shared" si="0"/>
        <v/>
      </c>
      <c r="D33" s="151"/>
      <c r="E33" s="229" t="str">
        <f>IF(E29 = "Select", "", E29)</f>
        <v/>
      </c>
      <c r="F33" s="30" t="s">
        <v>112</v>
      </c>
      <c r="G33" s="66" t="s">
        <v>99</v>
      </c>
      <c r="H33" s="314" t="str">
        <f t="shared" si="2"/>
        <v>31-100</v>
      </c>
      <c r="I33" s="30"/>
      <c r="J33" s="30"/>
      <c r="K33" s="169"/>
      <c r="AB33" s="14" t="s">
        <v>140</v>
      </c>
      <c r="AC33" s="154">
        <v>3.9000010000000001</v>
      </c>
      <c r="AD33" s="154">
        <v>4.800001</v>
      </c>
      <c r="AE33" s="14" t="s">
        <v>96</v>
      </c>
      <c r="AH33" s="14" t="s">
        <v>96</v>
      </c>
      <c r="AI33" s="14" t="s">
        <v>97</v>
      </c>
      <c r="AJ33" s="14" t="s">
        <v>101</v>
      </c>
      <c r="AK33" s="14" t="s">
        <v>98</v>
      </c>
    </row>
    <row r="34" spans="3:37" x14ac:dyDescent="0.4">
      <c r="C34" s="66" t="str">
        <f t="shared" si="0"/>
        <v/>
      </c>
      <c r="D34" s="151"/>
      <c r="E34" s="229" t="str">
        <f>IF(E29 = "Select", "", E29)</f>
        <v/>
      </c>
      <c r="F34" s="187" t="s">
        <v>112</v>
      </c>
      <c r="G34" s="146" t="s">
        <v>105</v>
      </c>
      <c r="H34" s="315">
        <f t="shared" si="2"/>
        <v>150</v>
      </c>
      <c r="I34" s="187"/>
      <c r="J34" s="187"/>
      <c r="K34" s="170"/>
      <c r="AB34" s="14" t="s">
        <v>140</v>
      </c>
      <c r="AC34" s="154">
        <v>4.800001</v>
      </c>
      <c r="AD34" s="154">
        <v>10000000</v>
      </c>
      <c r="AE34" s="14" t="s">
        <v>97</v>
      </c>
      <c r="AF34" s="14" t="s">
        <v>137</v>
      </c>
      <c r="AH34" s="14" t="s">
        <v>96</v>
      </c>
      <c r="AI34" s="14" t="s">
        <v>97</v>
      </c>
      <c r="AJ34" s="14" t="s">
        <v>94</v>
      </c>
      <c r="AK34" s="14" t="s">
        <v>98</v>
      </c>
    </row>
    <row r="35" spans="3:37" x14ac:dyDescent="0.4">
      <c r="C35" s="66" t="str">
        <f t="shared" si="0"/>
        <v/>
      </c>
      <c r="D35" s="151"/>
      <c r="E35" s="229" t="str">
        <f>IF(E29 = "Select", "", E29)</f>
        <v/>
      </c>
      <c r="F35" s="186" t="s">
        <v>113</v>
      </c>
      <c r="G35" s="145" t="s">
        <v>91</v>
      </c>
      <c r="H35" s="313" t="str">
        <f t="shared" si="2"/>
        <v>0-30</v>
      </c>
      <c r="I35" s="186"/>
      <c r="J35" s="186"/>
      <c r="K35" s="168"/>
      <c r="AB35" s="14" t="s">
        <v>141</v>
      </c>
      <c r="AC35" s="154">
        <v>0.83000010000000002</v>
      </c>
      <c r="AD35" s="154">
        <v>10000000</v>
      </c>
      <c r="AE35" s="14" t="s">
        <v>94</v>
      </c>
      <c r="AF35" s="14" t="s">
        <v>137</v>
      </c>
      <c r="AH35" s="14" t="s">
        <v>96</v>
      </c>
      <c r="AI35" s="14" t="s">
        <v>96</v>
      </c>
      <c r="AJ35" s="14" t="s">
        <v>97</v>
      </c>
      <c r="AK35" s="14" t="s">
        <v>98</v>
      </c>
    </row>
    <row r="36" spans="3:37" x14ac:dyDescent="0.4">
      <c r="C36" s="66" t="str">
        <f t="shared" si="0"/>
        <v/>
      </c>
      <c r="D36" s="151"/>
      <c r="E36" s="229" t="str">
        <f>IF(E29 = "Select", "", E29)</f>
        <v/>
      </c>
      <c r="F36" s="30" t="s">
        <v>113</v>
      </c>
      <c r="G36" s="66" t="s">
        <v>99</v>
      </c>
      <c r="H36" s="314" t="str">
        <f t="shared" si="2"/>
        <v>31-100</v>
      </c>
      <c r="I36" s="30"/>
      <c r="J36" s="30"/>
      <c r="K36" s="169"/>
      <c r="AB36" s="14" t="s">
        <v>141</v>
      </c>
      <c r="AC36" s="154">
        <v>0.59000010000000003</v>
      </c>
      <c r="AD36" s="154">
        <v>0.83000010000000002</v>
      </c>
      <c r="AE36" s="14" t="s">
        <v>101</v>
      </c>
      <c r="AH36" s="14" t="s">
        <v>96</v>
      </c>
      <c r="AI36" s="14" t="s">
        <v>96</v>
      </c>
      <c r="AJ36" s="14" t="s">
        <v>96</v>
      </c>
      <c r="AK36" s="14" t="s">
        <v>98</v>
      </c>
    </row>
    <row r="37" spans="3:37" x14ac:dyDescent="0.4">
      <c r="C37" s="66" t="str">
        <f t="shared" si="0"/>
        <v/>
      </c>
      <c r="D37" s="151"/>
      <c r="E37" s="229" t="str">
        <f>IF(E29 = "Select", "", E29)</f>
        <v/>
      </c>
      <c r="F37" s="187" t="s">
        <v>113</v>
      </c>
      <c r="G37" s="146" t="s">
        <v>105</v>
      </c>
      <c r="H37" s="315">
        <f t="shared" si="2"/>
        <v>150</v>
      </c>
      <c r="I37" s="187"/>
      <c r="J37" s="187"/>
      <c r="K37" s="170"/>
      <c r="AB37" s="14" t="s">
        <v>141</v>
      </c>
      <c r="AC37" s="154">
        <v>0.47000009999999998</v>
      </c>
      <c r="AD37" s="154">
        <v>0.59000010000000003</v>
      </c>
      <c r="AE37" s="14" t="s">
        <v>104</v>
      </c>
      <c r="AH37" s="14" t="s">
        <v>96</v>
      </c>
      <c r="AI37" s="14" t="s">
        <v>96</v>
      </c>
      <c r="AJ37" s="14" t="s">
        <v>104</v>
      </c>
      <c r="AK37" s="14" t="s">
        <v>98</v>
      </c>
    </row>
    <row r="38" spans="3:37" x14ac:dyDescent="0.4">
      <c r="C38" s="66" t="str">
        <f t="shared" si="0"/>
        <v/>
      </c>
      <c r="D38" s="151"/>
      <c r="E38" s="229" t="str">
        <f>IF(E29 = "Select", "", E29)</f>
        <v/>
      </c>
      <c r="F38" s="30" t="s">
        <v>118</v>
      </c>
      <c r="G38" s="66" t="s">
        <v>91</v>
      </c>
      <c r="H38" s="314" t="str">
        <f t="shared" si="2"/>
        <v>0-30</v>
      </c>
      <c r="I38" s="30"/>
      <c r="J38" s="30"/>
      <c r="K38" s="169"/>
      <c r="AB38" s="14" t="s">
        <v>141</v>
      </c>
      <c r="AC38" s="154">
        <v>0.35000009999999998</v>
      </c>
      <c r="AD38" s="154">
        <v>0.47000009999999998</v>
      </c>
      <c r="AE38" s="14" t="s">
        <v>96</v>
      </c>
      <c r="AH38" s="14" t="s">
        <v>96</v>
      </c>
      <c r="AI38" s="14" t="s">
        <v>96</v>
      </c>
      <c r="AJ38" s="14" t="s">
        <v>101</v>
      </c>
      <c r="AK38" s="14" t="s">
        <v>98</v>
      </c>
    </row>
    <row r="39" spans="3:37" x14ac:dyDescent="0.4">
      <c r="C39" s="66" t="str">
        <f t="shared" si="0"/>
        <v/>
      </c>
      <c r="D39" s="151"/>
      <c r="E39" s="229" t="str">
        <f>IF(E29 = "Select", "", E29)</f>
        <v/>
      </c>
      <c r="F39" s="30" t="s">
        <v>118</v>
      </c>
      <c r="G39" s="66" t="s">
        <v>99</v>
      </c>
      <c r="H39" s="314" t="str">
        <f t="shared" si="2"/>
        <v>31-100</v>
      </c>
      <c r="I39" s="30"/>
      <c r="J39" s="30"/>
      <c r="K39" s="169"/>
      <c r="AB39" s="14" t="s">
        <v>141</v>
      </c>
      <c r="AC39" s="154">
        <v>0</v>
      </c>
      <c r="AD39" s="154">
        <v>0.35000009999999998</v>
      </c>
      <c r="AE39" s="14" t="s">
        <v>97</v>
      </c>
      <c r="AF39" s="14" t="s">
        <v>107</v>
      </c>
      <c r="AH39" s="14" t="s">
        <v>96</v>
      </c>
      <c r="AI39" s="14" t="s">
        <v>96</v>
      </c>
      <c r="AJ39" s="14" t="s">
        <v>94</v>
      </c>
      <c r="AK39" s="14" t="s">
        <v>98</v>
      </c>
    </row>
    <row r="40" spans="3:37" x14ac:dyDescent="0.4">
      <c r="C40" s="66" t="str">
        <f t="shared" si="0"/>
        <v/>
      </c>
      <c r="D40" s="151"/>
      <c r="E40" s="230" t="str">
        <f>IF(E29 = "Select", "", E29)</f>
        <v/>
      </c>
      <c r="F40" s="187" t="s">
        <v>118</v>
      </c>
      <c r="G40" s="146" t="s">
        <v>105</v>
      </c>
      <c r="H40" s="315">
        <f t="shared" si="2"/>
        <v>150</v>
      </c>
      <c r="I40" s="187"/>
      <c r="J40" s="187"/>
      <c r="K40" s="170"/>
      <c r="AB40" s="14" t="s">
        <v>142</v>
      </c>
      <c r="AC40" s="154">
        <v>8.0000099999999996</v>
      </c>
      <c r="AD40" s="154">
        <v>100</v>
      </c>
      <c r="AE40" s="14" t="s">
        <v>94</v>
      </c>
      <c r="AH40" s="14" t="s">
        <v>96</v>
      </c>
      <c r="AI40" s="14" t="s">
        <v>104</v>
      </c>
      <c r="AJ40" s="14" t="s">
        <v>97</v>
      </c>
      <c r="AK40" s="14" t="s">
        <v>98</v>
      </c>
    </row>
    <row r="41" spans="3:37" x14ac:dyDescent="0.4">
      <c r="AB41" s="14" t="s">
        <v>142</v>
      </c>
      <c r="AC41" s="154">
        <v>6</v>
      </c>
      <c r="AD41" s="154">
        <v>8.0000099999999996</v>
      </c>
      <c r="AE41" s="14" t="s">
        <v>101</v>
      </c>
      <c r="AH41" s="14" t="s">
        <v>96</v>
      </c>
      <c r="AI41" s="14" t="s">
        <v>104</v>
      </c>
      <c r="AJ41" s="14" t="s">
        <v>96</v>
      </c>
      <c r="AK41" s="14" t="s">
        <v>98</v>
      </c>
    </row>
    <row r="42" spans="3:37" x14ac:dyDescent="0.4">
      <c r="D42" s="17" t="s">
        <v>1913</v>
      </c>
      <c r="AB42" s="14" t="s">
        <v>142</v>
      </c>
      <c r="AC42" s="154">
        <v>4</v>
      </c>
      <c r="AD42" s="154">
        <v>6</v>
      </c>
      <c r="AE42" s="14" t="s">
        <v>104</v>
      </c>
      <c r="AH42" s="14" t="s">
        <v>96</v>
      </c>
      <c r="AI42" s="14" t="s">
        <v>104</v>
      </c>
      <c r="AJ42" s="14" t="s">
        <v>104</v>
      </c>
      <c r="AK42" s="14" t="s">
        <v>98</v>
      </c>
    </row>
    <row r="43" spans="3:37" hidden="1" x14ac:dyDescent="0.4">
      <c r="C43" s="14">
        <v>8.11</v>
      </c>
      <c r="D43" s="14">
        <v>8.1199999999999992</v>
      </c>
      <c r="E43" s="14">
        <v>8.1300000000000008</v>
      </c>
      <c r="F43" s="14">
        <v>8.14</v>
      </c>
      <c r="G43" s="14">
        <v>8.15</v>
      </c>
      <c r="H43" s="14">
        <v>8.16</v>
      </c>
      <c r="AB43" s="14" t="s">
        <v>142</v>
      </c>
      <c r="AC43" s="154">
        <v>2</v>
      </c>
      <c r="AD43" s="154">
        <v>4</v>
      </c>
      <c r="AE43" s="14" t="s">
        <v>96</v>
      </c>
      <c r="AH43" s="14" t="s">
        <v>96</v>
      </c>
      <c r="AI43" s="14" t="s">
        <v>104</v>
      </c>
      <c r="AJ43" s="14" t="s">
        <v>101</v>
      </c>
      <c r="AK43" s="14" t="s">
        <v>98</v>
      </c>
    </row>
    <row r="44" spans="3:37" ht="33.6" x14ac:dyDescent="0.4">
      <c r="C44" s="62" t="s">
        <v>40</v>
      </c>
      <c r="D44" s="62" t="s">
        <v>148</v>
      </c>
      <c r="E44" s="62" t="s">
        <v>76</v>
      </c>
      <c r="F44" s="62" t="s">
        <v>182</v>
      </c>
      <c r="G44" s="62" t="s">
        <v>121</v>
      </c>
      <c r="H44" s="58" t="s">
        <v>122</v>
      </c>
      <c r="AB44" s="14" t="s">
        <v>142</v>
      </c>
      <c r="AC44" s="154">
        <v>0</v>
      </c>
      <c r="AD44" s="154">
        <v>2</v>
      </c>
      <c r="AE44" s="14" t="s">
        <v>97</v>
      </c>
      <c r="AF44" s="14" t="s">
        <v>107</v>
      </c>
      <c r="AH44" s="14" t="s">
        <v>96</v>
      </c>
      <c r="AI44" s="14" t="s">
        <v>104</v>
      </c>
      <c r="AJ44" s="14" t="s">
        <v>94</v>
      </c>
      <c r="AK44" s="14" t="s">
        <v>98</v>
      </c>
    </row>
    <row r="45" spans="3:37" x14ac:dyDescent="0.4">
      <c r="C45" s="66" t="str">
        <f>C5</f>
        <v/>
      </c>
      <c r="D45" s="66" t="str">
        <f>E6</f>
        <v/>
      </c>
      <c r="E45" s="66" t="str">
        <f>G5</f>
        <v>Sampling zone 1</v>
      </c>
      <c r="F45" s="55" t="str">
        <f>IFERROR(AVERAGE(I5:J5,I8:J8,I11:J11,I14:J14),"")</f>
        <v/>
      </c>
      <c r="G45" s="55" t="str" cm="1">
        <f t="array" ref="G45">IFERROR(INDEX(Table967[EQS category ref], MATCH(1, (Table5663[[#This Row],[Biotic indicator]]=Table967[Biotic index ref])*(Table5663[[#This Row],[Average indicator value]]&gt;=Table967[Equal or larger than])*(Table5663[[#This Row],[Average indicator value]]&lt;Table967[smaller than]),0)),"")</f>
        <v/>
      </c>
      <c r="H45" s="109" t="str" cm="1">
        <f t="array" ref="H45">IFERROR(_xlfn.IFS(Table5663[[#This Row],[EQS category]]="Bad",5, Table5663[[#This Row],[EQS category]]="Poor",4, Table5663[[#This Row],[EQS category]]="Moderate",3, Table5663[[#This Row],[EQS category]]="Good",2, Table5663[[#This Row],[EQS category]]="High",1),"")</f>
        <v/>
      </c>
      <c r="AB45" s="14" t="s">
        <v>143</v>
      </c>
      <c r="AC45" s="154">
        <v>16.00001</v>
      </c>
      <c r="AD45" s="154">
        <v>10000000</v>
      </c>
      <c r="AE45" s="14" t="s">
        <v>94</v>
      </c>
      <c r="AF45" s="14" t="s">
        <v>137</v>
      </c>
      <c r="AH45" s="14" t="s">
        <v>96</v>
      </c>
      <c r="AI45" s="14" t="s">
        <v>101</v>
      </c>
      <c r="AJ45" s="14" t="s">
        <v>97</v>
      </c>
      <c r="AK45" s="14" t="s">
        <v>98</v>
      </c>
    </row>
    <row r="46" spans="3:37" x14ac:dyDescent="0.4">
      <c r="C46" s="66" t="str">
        <f>C8</f>
        <v/>
      </c>
      <c r="D46" s="66" t="str">
        <f>E18</f>
        <v/>
      </c>
      <c r="E46" s="66" t="str">
        <f>G17</f>
        <v>Sampling zone 1</v>
      </c>
      <c r="F46" s="55" t="str">
        <f>IFERROR(AVERAGE(I17:J17,I23:J23,I20:J20,I26:J26),"")</f>
        <v/>
      </c>
      <c r="G46" s="55" t="str" cm="1">
        <f t="array" ref="G46">IFERROR(INDEX(Table967[EQS category ref], MATCH(1, (Table5663[[#This Row],[Biotic indicator]]=Table967[Biotic index ref])*(Table5663[[#This Row],[Average indicator value]]&gt;=Table967[Equal or larger than])*(Table5663[[#This Row],[Average indicator value]]&lt;Table967[smaller than]),0)),"")</f>
        <v/>
      </c>
      <c r="H46" s="109" t="str" cm="1">
        <f t="array" ref="H46">IFERROR(_xlfn.IFS(Table5663[[#This Row],[EQS category]]="Bad",5, Table5663[[#This Row],[EQS category]]="Poor",4, Table5663[[#This Row],[EQS category]]="Moderate",3, Table5663[[#This Row],[EQS category]]="Good",2, Table5663[[#This Row],[EQS category]]="High",1),"")</f>
        <v/>
      </c>
      <c r="AB46" s="14" t="s">
        <v>143</v>
      </c>
      <c r="AC46" s="154">
        <v>11.7</v>
      </c>
      <c r="AD46" s="154">
        <v>16.00001</v>
      </c>
      <c r="AE46" s="14" t="s">
        <v>101</v>
      </c>
      <c r="AH46" s="14" t="s">
        <v>96</v>
      </c>
      <c r="AI46" s="14" t="s">
        <v>101</v>
      </c>
      <c r="AJ46" s="14" t="s">
        <v>96</v>
      </c>
      <c r="AK46" s="14" t="s">
        <v>98</v>
      </c>
    </row>
    <row r="47" spans="3:37" x14ac:dyDescent="0.4">
      <c r="C47" s="66" t="str">
        <f>C11</f>
        <v/>
      </c>
      <c r="D47" s="66" t="str">
        <f>E30</f>
        <v/>
      </c>
      <c r="E47" s="66" t="str">
        <f>G29</f>
        <v>Sampling zone 1</v>
      </c>
      <c r="F47" s="55" t="str">
        <f>IFERROR(AVERAGE(I29:J29,I32:J32,I35:J35,I38:J38),"")</f>
        <v/>
      </c>
      <c r="G47" s="55" t="str" cm="1">
        <f t="array" ref="G47">IFERROR(INDEX(Table967[EQS category ref], MATCH(1, (Table5663[[#This Row],[Biotic indicator]]=Table967[Biotic index ref])*(Table5663[[#This Row],[Average indicator value]]&gt;=Table967[Equal or larger than])*(Table5663[[#This Row],[Average indicator value]]&lt;Table967[smaller than]),0)),"")</f>
        <v/>
      </c>
      <c r="H47" s="109" t="str" cm="1">
        <f t="array" ref="H47">IFERROR(_xlfn.IFS(Table5663[[#This Row],[EQS category]]="Bad",5, Table5663[[#This Row],[EQS category]]="Poor",4, Table5663[[#This Row],[EQS category]]="Moderate",3, Table5663[[#This Row],[EQS category]]="Good",2, Table5663[[#This Row],[EQS category]]="High",1),"")</f>
        <v/>
      </c>
      <c r="AB47" s="14" t="s">
        <v>143</v>
      </c>
      <c r="AC47" s="154">
        <v>7.5</v>
      </c>
      <c r="AD47" s="154">
        <v>11.7</v>
      </c>
      <c r="AE47" s="14" t="s">
        <v>104</v>
      </c>
      <c r="AH47" s="14" t="s">
        <v>96</v>
      </c>
      <c r="AI47" s="14" t="s">
        <v>101</v>
      </c>
      <c r="AJ47" s="14" t="s">
        <v>104</v>
      </c>
      <c r="AK47" s="14" t="s">
        <v>98</v>
      </c>
    </row>
    <row r="48" spans="3:37" x14ac:dyDescent="0.4">
      <c r="C48" s="66" t="str">
        <f>C14</f>
        <v/>
      </c>
      <c r="D48" s="66" t="str">
        <f>E8</f>
        <v/>
      </c>
      <c r="E48" s="66" t="str">
        <f>G6</f>
        <v>Sampling zone 2</v>
      </c>
      <c r="F48" s="55" t="str">
        <f>IFERROR(AVERAGE(I6:J6,I9:J9,I12:J12,I15:J15),"")</f>
        <v/>
      </c>
      <c r="G48" s="55" t="str" cm="1">
        <f t="array" ref="G48">IFERROR(INDEX(Table967[EQS category ref], MATCH(1, (Table5663[[#This Row],[Biotic indicator]]=Table967[Biotic index ref])*(Table5663[[#This Row],[Average indicator value]]&gt;=Table967[Equal or larger than])*(Table5663[[#This Row],[Average indicator value]]&lt;Table967[smaller than]),0)),"")</f>
        <v/>
      </c>
      <c r="H48" s="109" t="str" cm="1">
        <f t="array" ref="H48">IFERROR(_xlfn.IFS(Table5663[[#This Row],[EQS category]]="Bad",5, Table5663[[#This Row],[EQS category]]="Poor",4, Table5663[[#This Row],[EQS category]]="Moderate",3, Table5663[[#This Row],[EQS category]]="Good",2, Table5663[[#This Row],[EQS category]]="High",1),"")</f>
        <v/>
      </c>
      <c r="AB48" s="14" t="s">
        <v>143</v>
      </c>
      <c r="AC48" s="154">
        <v>5.4</v>
      </c>
      <c r="AD48" s="154">
        <v>7.5</v>
      </c>
      <c r="AE48" s="14" t="s">
        <v>96</v>
      </c>
      <c r="AH48" s="14" t="s">
        <v>96</v>
      </c>
      <c r="AI48" s="14" t="s">
        <v>101</v>
      </c>
      <c r="AJ48" s="14" t="s">
        <v>101</v>
      </c>
      <c r="AK48" s="14" t="s">
        <v>98</v>
      </c>
    </row>
    <row r="49" spans="3:37" x14ac:dyDescent="0.4">
      <c r="C49" s="66" t="str">
        <f>C17</f>
        <v/>
      </c>
      <c r="D49" s="66" t="str">
        <f>E20</f>
        <v/>
      </c>
      <c r="E49" s="66" t="str">
        <f>G18</f>
        <v>Sampling zone 2</v>
      </c>
      <c r="F49" s="55" t="str">
        <f>IFERROR(AVERAGE(I18:J18,I24:J24,I21:J21,I27:J27),"")</f>
        <v/>
      </c>
      <c r="G49" s="55" t="str" cm="1">
        <f t="array" ref="G49">IFERROR(INDEX(Table967[EQS category ref], MATCH(1, (Table5663[[#This Row],[Biotic indicator]]=Table967[Biotic index ref])*(Table5663[[#This Row],[Average indicator value]]&gt;=Table967[Equal or larger than])*(Table5663[[#This Row],[Average indicator value]]&lt;Table967[smaller than]),0)),"")</f>
        <v/>
      </c>
      <c r="H49" s="109" t="str" cm="1">
        <f t="array" ref="H49">IFERROR(_xlfn.IFS(Table5663[[#This Row],[EQS category]]="Bad",5, Table5663[[#This Row],[EQS category]]="Poor",4, Table5663[[#This Row],[EQS category]]="Moderate",3, Table5663[[#This Row],[EQS category]]="Good",2, Table5663[[#This Row],[EQS category]]="High",1),"")</f>
        <v/>
      </c>
      <c r="AB49" s="14" t="s">
        <v>143</v>
      </c>
      <c r="AC49" s="154">
        <v>0</v>
      </c>
      <c r="AD49" s="154">
        <v>5.4</v>
      </c>
      <c r="AE49" s="14" t="s">
        <v>97</v>
      </c>
      <c r="AF49" s="14" t="s">
        <v>107</v>
      </c>
      <c r="AH49" s="14" t="s">
        <v>96</v>
      </c>
      <c r="AI49" s="14" t="s">
        <v>101</v>
      </c>
      <c r="AJ49" s="14" t="s">
        <v>94</v>
      </c>
      <c r="AK49" s="14" t="s">
        <v>98</v>
      </c>
    </row>
    <row r="50" spans="3:37" x14ac:dyDescent="0.4">
      <c r="C50" s="66" t="str">
        <f>C20</f>
        <v/>
      </c>
      <c r="D50" s="66" t="str">
        <f>E32</f>
        <v/>
      </c>
      <c r="E50" s="66" t="str">
        <f>G30</f>
        <v>Sampling zone 2</v>
      </c>
      <c r="F50" s="55" t="str">
        <f>IFERROR(AVERAGE(I30:J30,I33:J33,I36:J36,I39:J39),"")</f>
        <v/>
      </c>
      <c r="G50" s="55" t="str" cm="1">
        <f t="array" ref="G50">IFERROR(INDEX(Table967[EQS category ref], MATCH(1, (Table5663[[#This Row],[Biotic indicator]]=Table967[Biotic index ref])*(Table5663[[#This Row],[Average indicator value]]&gt;=Table967[Equal or larger than])*(Table5663[[#This Row],[Average indicator value]]&lt;Table967[smaller than]),0)),"")</f>
        <v/>
      </c>
      <c r="H50" s="109" t="str" cm="1">
        <f t="array" ref="H50">IFERROR(_xlfn.IFS(Table5663[[#This Row],[EQS category]]="Bad",5, Table5663[[#This Row],[EQS category]]="Poor",4, Table5663[[#This Row],[EQS category]]="Moderate",3, Table5663[[#This Row],[EQS category]]="Good",2, Table5663[[#This Row],[EQS category]]="High",1),"")</f>
        <v/>
      </c>
      <c r="AB50" s="14" t="s">
        <v>144</v>
      </c>
      <c r="AC50" s="154">
        <v>16.00001</v>
      </c>
      <c r="AD50" s="154">
        <v>10000000</v>
      </c>
      <c r="AE50" s="14" t="s">
        <v>94</v>
      </c>
      <c r="AF50" s="14" t="s">
        <v>137</v>
      </c>
      <c r="AH50" s="14" t="s">
        <v>96</v>
      </c>
      <c r="AI50" s="14" t="s">
        <v>94</v>
      </c>
      <c r="AJ50" s="14" t="s">
        <v>97</v>
      </c>
      <c r="AK50" s="14" t="s">
        <v>98</v>
      </c>
    </row>
    <row r="51" spans="3:37" x14ac:dyDescent="0.4">
      <c r="C51" s="66" t="str">
        <f>C23</f>
        <v/>
      </c>
      <c r="D51" s="66" t="str">
        <f>E11</f>
        <v/>
      </c>
      <c r="E51" s="66" t="str">
        <f>G7</f>
        <v>Reference zone</v>
      </c>
      <c r="F51" s="55" t="str">
        <f>IFERROR(AVERAGE(I13:J13,I7:J7,I10:J10,I16:J16),"")</f>
        <v/>
      </c>
      <c r="G51" s="55" t="str" cm="1">
        <f t="array" ref="G51">IFERROR(INDEX(Table967[EQS category ref], MATCH(1, (Table5663[[#This Row],[Biotic indicator]]=Table967[Biotic index ref])*(Table5663[[#This Row],[Average indicator value]]&gt;=Table967[Equal or larger than])*(Table5663[[#This Row],[Average indicator value]]&lt;Table967[smaller than]),0)),"")</f>
        <v/>
      </c>
      <c r="H51" s="109" t="str" cm="1">
        <f t="array" ref="H51">IFERROR(_xlfn.IFS(Table5663[[#This Row],[EQS category]]="Bad",5, Table5663[[#This Row],[EQS category]]="Poor",4, Table5663[[#This Row],[EQS category]]="Moderate",3, Table5663[[#This Row],[EQS category]]="Good",2, Table5663[[#This Row],[EQS category]]="High",1),"")</f>
        <v/>
      </c>
      <c r="AB51" s="14" t="s">
        <v>144</v>
      </c>
      <c r="AC51" s="154">
        <v>12</v>
      </c>
      <c r="AD51" s="154">
        <v>16.00001</v>
      </c>
      <c r="AE51" s="14" t="s">
        <v>101</v>
      </c>
      <c r="AH51" s="14" t="s">
        <v>96</v>
      </c>
      <c r="AI51" s="14" t="s">
        <v>94</v>
      </c>
      <c r="AJ51" s="14" t="s">
        <v>96</v>
      </c>
      <c r="AK51" s="14" t="s">
        <v>98</v>
      </c>
    </row>
    <row r="52" spans="3:37" x14ac:dyDescent="0.4">
      <c r="C52" s="66" t="str">
        <f>C26</f>
        <v/>
      </c>
      <c r="D52" s="66" t="str">
        <f>E23</f>
        <v/>
      </c>
      <c r="E52" s="66" t="str">
        <f>G19</f>
        <v>Reference zone</v>
      </c>
      <c r="F52" s="55" t="str">
        <f>IFERROR(AVERAGE(I19:J19,I25:J25,I22:J22,I28:J28),"")</f>
        <v/>
      </c>
      <c r="G52" s="55" t="str" cm="1">
        <f t="array" ref="G52">IFERROR(INDEX(Table967[EQS category ref], MATCH(1, (Table5663[[#This Row],[Biotic indicator]]=Table967[Biotic index ref])*(Table5663[[#This Row],[Average indicator value]]&gt;=Table967[Equal or larger than])*(Table5663[[#This Row],[Average indicator value]]&lt;Table967[smaller than]),0)),"")</f>
        <v/>
      </c>
      <c r="H52" s="109" t="str" cm="1">
        <f t="array" ref="H52">IFERROR(_xlfn.IFS(Table5663[[#This Row],[EQS category]]="Bad",5, Table5663[[#This Row],[EQS category]]="Poor",4, Table5663[[#This Row],[EQS category]]="Moderate",3, Table5663[[#This Row],[EQS category]]="Good",2, Table5663[[#This Row],[EQS category]]="High",1),"")</f>
        <v/>
      </c>
      <c r="AB52" s="14" t="s">
        <v>144</v>
      </c>
      <c r="AC52" s="154">
        <v>8</v>
      </c>
      <c r="AD52" s="154">
        <v>12</v>
      </c>
      <c r="AE52" s="14" t="s">
        <v>104</v>
      </c>
      <c r="AH52" s="14" t="s">
        <v>96</v>
      </c>
      <c r="AI52" s="14" t="s">
        <v>94</v>
      </c>
      <c r="AJ52" s="14" t="s">
        <v>104</v>
      </c>
      <c r="AK52" s="14" t="s">
        <v>98</v>
      </c>
    </row>
    <row r="53" spans="3:37" x14ac:dyDescent="0.4">
      <c r="C53" s="66" t="str">
        <f>C29</f>
        <v/>
      </c>
      <c r="D53" s="66" t="str">
        <f>E35</f>
        <v/>
      </c>
      <c r="E53" s="66" t="str">
        <f>G31</f>
        <v>Reference zone</v>
      </c>
      <c r="F53" s="55" t="str">
        <f>IFERROR(AVERAGE(I34:J34,I37:J37,I31:J31,I40:J40),"")</f>
        <v/>
      </c>
      <c r="G53" s="55" t="str" cm="1">
        <f t="array" ref="G53">IFERROR(INDEX(Table967[EQS category ref], MATCH(1, (Table5663[[#This Row],[Biotic indicator]]=Table967[Biotic index ref])*(Table5663[[#This Row],[Average indicator value]]&gt;=Table967[Equal or larger than])*(Table5663[[#This Row],[Average indicator value]]&lt;Table967[smaller than]),0)),"")</f>
        <v/>
      </c>
      <c r="H53" s="109" t="str" cm="1">
        <f t="array" ref="H53">IFERROR(_xlfn.IFS(Table5663[[#This Row],[EQS category]]="Bad",5, Table5663[[#This Row],[EQS category]]="Poor",4, Table5663[[#This Row],[EQS category]]="Moderate",3, Table5663[[#This Row],[EQS category]]="Good",2, Table5663[[#This Row],[EQS category]]="High",1),"")</f>
        <v/>
      </c>
      <c r="AB53" s="14" t="s">
        <v>144</v>
      </c>
      <c r="AC53" s="154">
        <v>4</v>
      </c>
      <c r="AD53" s="154">
        <v>8</v>
      </c>
      <c r="AE53" s="14" t="s">
        <v>96</v>
      </c>
      <c r="AH53" s="14" t="s">
        <v>96</v>
      </c>
      <c r="AI53" s="14" t="s">
        <v>94</v>
      </c>
      <c r="AJ53" s="14" t="s">
        <v>101</v>
      </c>
      <c r="AK53" s="14" t="s">
        <v>98</v>
      </c>
    </row>
    <row r="54" spans="3:37" x14ac:dyDescent="0.4">
      <c r="AB54" s="14" t="s">
        <v>144</v>
      </c>
      <c r="AC54" s="154">
        <v>0</v>
      </c>
      <c r="AD54" s="154">
        <v>4</v>
      </c>
      <c r="AE54" s="14" t="s">
        <v>97</v>
      </c>
      <c r="AF54" s="14" t="s">
        <v>107</v>
      </c>
      <c r="AH54" s="14" t="s">
        <v>96</v>
      </c>
      <c r="AI54" s="14" t="s">
        <v>94</v>
      </c>
      <c r="AJ54" s="14" t="s">
        <v>94</v>
      </c>
      <c r="AK54" s="14" t="s">
        <v>98</v>
      </c>
    </row>
    <row r="55" spans="3:37" x14ac:dyDescent="0.4">
      <c r="D55" s="17" t="s">
        <v>153</v>
      </c>
      <c r="AB55" s="14" t="s">
        <v>145</v>
      </c>
      <c r="AC55" s="154">
        <v>20.80001</v>
      </c>
      <c r="AD55" s="154">
        <v>10000000</v>
      </c>
      <c r="AE55" s="14" t="s">
        <v>94</v>
      </c>
      <c r="AF55" s="14" t="s">
        <v>137</v>
      </c>
      <c r="AH55" s="14" t="s">
        <v>104</v>
      </c>
      <c r="AI55" s="14" t="s">
        <v>97</v>
      </c>
      <c r="AJ55" s="14" t="s">
        <v>97</v>
      </c>
      <c r="AK55" s="14" t="s">
        <v>98</v>
      </c>
    </row>
    <row r="56" spans="3:37" hidden="1" x14ac:dyDescent="0.4">
      <c r="C56" s="14">
        <v>8.17</v>
      </c>
      <c r="D56" s="14">
        <v>8.18</v>
      </c>
      <c r="E56" s="14">
        <v>8.19</v>
      </c>
      <c r="F56" s="14">
        <v>8.2100000000000009</v>
      </c>
      <c r="AB56" s="14" t="s">
        <v>145</v>
      </c>
      <c r="AC56" s="154">
        <v>9.1999999999999993</v>
      </c>
      <c r="AD56" s="154">
        <v>20.800001000000002</v>
      </c>
      <c r="AE56" s="14" t="s">
        <v>101</v>
      </c>
      <c r="AH56" s="14" t="s">
        <v>104</v>
      </c>
      <c r="AI56" s="14" t="s">
        <v>97</v>
      </c>
      <c r="AJ56" s="14" t="s">
        <v>96</v>
      </c>
      <c r="AK56" s="14" t="s">
        <v>98</v>
      </c>
    </row>
    <row r="57" spans="3:37" ht="17.399999999999999" thickBot="1" x14ac:dyDescent="0.45">
      <c r="C57" s="63" t="s">
        <v>124</v>
      </c>
      <c r="D57" s="63" t="s">
        <v>76</v>
      </c>
      <c r="E57" s="63" t="s">
        <v>125</v>
      </c>
      <c r="F57" s="78" t="s">
        <v>126</v>
      </c>
      <c r="AB57" s="14" t="s">
        <v>145</v>
      </c>
      <c r="AC57" s="154">
        <v>5.7</v>
      </c>
      <c r="AD57" s="154">
        <v>9.1999999999999993</v>
      </c>
      <c r="AE57" s="14" t="s">
        <v>104</v>
      </c>
      <c r="AH57" s="14" t="s">
        <v>104</v>
      </c>
      <c r="AI57" s="14" t="s">
        <v>97</v>
      </c>
      <c r="AJ57" s="14" t="s">
        <v>104</v>
      </c>
      <c r="AK57" s="14" t="s">
        <v>98</v>
      </c>
    </row>
    <row r="58" spans="3:37" ht="17.399999999999999" thickTop="1" x14ac:dyDescent="0.4">
      <c r="C58" s="93" t="str">
        <f>C45</f>
        <v/>
      </c>
      <c r="D58" s="55" t="str">
        <f>E45</f>
        <v>Sampling zone 1</v>
      </c>
      <c r="E58" s="75" t="str">
        <f>IFERROR((H45+H46+H47)/3,"")</f>
        <v/>
      </c>
      <c r="F58" s="110" t="str" cm="1">
        <f t="array" ref="F58">IFERROR(INDEX(Table20151828[EQS category ref], MATCH(1,(Table5764[[#This Row],[Zone EQS score]]&gt;Table20151828[Larger than])*(Table5764[[#This Row],[Zone EQS score]]&lt;=Table20151828[Equal or smaller than]),0)),"")</f>
        <v/>
      </c>
      <c r="AB58" s="14" t="s">
        <v>145</v>
      </c>
      <c r="AC58" s="154">
        <v>1.9</v>
      </c>
      <c r="AD58" s="154">
        <v>5.7</v>
      </c>
      <c r="AE58" s="14" t="s">
        <v>96</v>
      </c>
      <c r="AH58" s="14" t="s">
        <v>104</v>
      </c>
      <c r="AI58" s="14" t="s">
        <v>97</v>
      </c>
      <c r="AJ58" s="14" t="s">
        <v>101</v>
      </c>
      <c r="AK58" s="14" t="s">
        <v>98</v>
      </c>
    </row>
    <row r="59" spans="3:37" x14ac:dyDescent="0.4">
      <c r="C59" s="93" t="str">
        <f>C46</f>
        <v/>
      </c>
      <c r="D59" s="93" t="str">
        <f>E48</f>
        <v>Sampling zone 2</v>
      </c>
      <c r="E59" s="75" t="str">
        <f>IFERROR((H48+H49+H50)/3,"")</f>
        <v/>
      </c>
      <c r="F59" s="110" t="str" cm="1">
        <f t="array" ref="F59">IFERROR(INDEX(Table20151828[EQS category ref], MATCH(1,(Table5764[[#This Row],[Zone EQS score]]&gt;Table20151828[Larger than])*(Table5764[[#This Row],[Zone EQS score]]&lt;=Table20151828[Equal or smaller than]),0)),"")</f>
        <v/>
      </c>
      <c r="AB59" s="14" t="s">
        <v>145</v>
      </c>
      <c r="AC59" s="154">
        <v>0</v>
      </c>
      <c r="AD59" s="154">
        <v>1.9</v>
      </c>
      <c r="AE59" s="14" t="s">
        <v>97</v>
      </c>
      <c r="AF59" s="14" t="s">
        <v>107</v>
      </c>
      <c r="AH59" s="14" t="s">
        <v>104</v>
      </c>
      <c r="AI59" s="14" t="s">
        <v>97</v>
      </c>
      <c r="AJ59" s="14" t="s">
        <v>94</v>
      </c>
      <c r="AK59" s="14" t="s">
        <v>98</v>
      </c>
    </row>
    <row r="60" spans="3:37" x14ac:dyDescent="0.4">
      <c r="C60" s="93" t="str">
        <f>C47</f>
        <v/>
      </c>
      <c r="D60" s="93" t="str">
        <f>E51</f>
        <v>Reference zone</v>
      </c>
      <c r="E60" s="75" t="str">
        <f>IFERROR((H51+H52+H53)/3,"")</f>
        <v/>
      </c>
      <c r="F60" s="110" t="str" cm="1">
        <f t="array" ref="F60">IFERROR(INDEX(Table20151828[EQS category ref], MATCH(1,(Table5764[[#This Row],[Zone EQS score]]&gt;Table20151828[Larger than])*(Table5764[[#This Row],[Zone EQS score]]&lt;=Table20151828[Equal or smaller than]),0)),"")</f>
        <v/>
      </c>
      <c r="AB60" s="14" t="s">
        <v>146</v>
      </c>
      <c r="AC60" s="154">
        <v>0.67000009999999999</v>
      </c>
      <c r="AD60" s="154">
        <v>10000000</v>
      </c>
      <c r="AE60" s="14" t="s">
        <v>94</v>
      </c>
      <c r="AF60" s="14" t="s">
        <v>137</v>
      </c>
      <c r="AH60" s="14" t="s">
        <v>104</v>
      </c>
      <c r="AI60" s="14" t="s">
        <v>96</v>
      </c>
      <c r="AJ60" s="14" t="s">
        <v>97</v>
      </c>
      <c r="AK60" s="14" t="s">
        <v>98</v>
      </c>
    </row>
    <row r="61" spans="3:37" x14ac:dyDescent="0.4">
      <c r="AB61" s="14" t="s">
        <v>146</v>
      </c>
      <c r="AC61" s="154">
        <v>0.5</v>
      </c>
      <c r="AD61" s="154">
        <v>0.67000009999999999</v>
      </c>
      <c r="AE61" s="14" t="s">
        <v>101</v>
      </c>
      <c r="AH61" s="14" t="s">
        <v>104</v>
      </c>
      <c r="AI61" s="14" t="s">
        <v>96</v>
      </c>
      <c r="AJ61" s="14" t="s">
        <v>96</v>
      </c>
      <c r="AK61" s="14" t="s">
        <v>98</v>
      </c>
    </row>
    <row r="62" spans="3:37" x14ac:dyDescent="0.4">
      <c r="D62" s="17" t="s">
        <v>1905</v>
      </c>
      <c r="AB62" s="14" t="s">
        <v>146</v>
      </c>
      <c r="AC62" s="154">
        <v>0.42</v>
      </c>
      <c r="AD62" s="154">
        <v>0.5</v>
      </c>
      <c r="AE62" s="14" t="s">
        <v>104</v>
      </c>
      <c r="AH62" s="14" t="s">
        <v>104</v>
      </c>
      <c r="AI62" s="14" t="s">
        <v>96</v>
      </c>
      <c r="AJ62" s="14" t="s">
        <v>104</v>
      </c>
      <c r="AK62" s="14" t="s">
        <v>98</v>
      </c>
    </row>
    <row r="63" spans="3:37" hidden="1" x14ac:dyDescent="0.4">
      <c r="C63" s="14">
        <v>8.2200000000000006</v>
      </c>
      <c r="D63" s="14">
        <v>8.23</v>
      </c>
      <c r="AB63" s="14" t="s">
        <v>146</v>
      </c>
      <c r="AC63" s="154">
        <v>0.33</v>
      </c>
      <c r="AD63" s="154">
        <v>0.42</v>
      </c>
      <c r="AE63" s="14" t="s">
        <v>96</v>
      </c>
      <c r="AH63" s="14" t="s">
        <v>104</v>
      </c>
      <c r="AI63" s="14" t="s">
        <v>96</v>
      </c>
      <c r="AJ63" s="14" t="s">
        <v>101</v>
      </c>
      <c r="AK63" s="14" t="s">
        <v>98</v>
      </c>
    </row>
    <row r="64" spans="3:37" x14ac:dyDescent="0.4">
      <c r="C64" s="63" t="s">
        <v>40</v>
      </c>
      <c r="D64" s="62" t="s">
        <v>154</v>
      </c>
      <c r="AB64" s="14" t="s">
        <v>146</v>
      </c>
      <c r="AC64" s="154">
        <v>0</v>
      </c>
      <c r="AD64" s="154">
        <v>0.33</v>
      </c>
      <c r="AE64" s="14" t="s">
        <v>97</v>
      </c>
      <c r="AF64" s="14" t="s">
        <v>107</v>
      </c>
      <c r="AH64" s="14" t="s">
        <v>104</v>
      </c>
      <c r="AI64" s="14" t="s">
        <v>96</v>
      </c>
      <c r="AJ64" s="14" t="s">
        <v>94</v>
      </c>
      <c r="AK64" s="14" t="s">
        <v>98</v>
      </c>
    </row>
    <row r="65" spans="3:37" x14ac:dyDescent="0.4">
      <c r="C65" s="93" t="str">
        <f>C58</f>
        <v/>
      </c>
      <c r="D65" s="55" t="str" cm="1">
        <f t="array" ref="D65">IFERROR(INDEX(Table40682627[Benthic status], MATCH(1, (F60=Table40682627[[Reference zone ]])*(F58=Table40682627[Farm monitoring zone 1])*(F59=Table40682627[Farm monitoring zone 2]),0)),"")</f>
        <v/>
      </c>
      <c r="AB65" s="14" t="s">
        <v>147</v>
      </c>
      <c r="AC65" s="154">
        <v>0.86000010000000005</v>
      </c>
      <c r="AD65" s="154">
        <v>10000000</v>
      </c>
      <c r="AE65" s="14" t="s">
        <v>94</v>
      </c>
      <c r="AF65" s="14" t="s">
        <v>137</v>
      </c>
      <c r="AH65" s="14" t="s">
        <v>104</v>
      </c>
      <c r="AI65" s="14" t="s">
        <v>104</v>
      </c>
      <c r="AJ65" s="14" t="s">
        <v>97</v>
      </c>
      <c r="AK65" s="14" t="s">
        <v>98</v>
      </c>
    </row>
    <row r="66" spans="3:37" x14ac:dyDescent="0.4">
      <c r="AB66" s="14" t="s">
        <v>147</v>
      </c>
      <c r="AC66" s="154">
        <v>0.68</v>
      </c>
      <c r="AD66" s="154">
        <v>0.86000010000000005</v>
      </c>
      <c r="AE66" s="14" t="s">
        <v>101</v>
      </c>
      <c r="AH66" s="14" t="s">
        <v>104</v>
      </c>
      <c r="AI66" s="14" t="s">
        <v>104</v>
      </c>
      <c r="AJ66" s="14" t="s">
        <v>96</v>
      </c>
      <c r="AK66" s="14" t="s">
        <v>98</v>
      </c>
    </row>
    <row r="67" spans="3:37" x14ac:dyDescent="0.4">
      <c r="AB67" s="14" t="s">
        <v>147</v>
      </c>
      <c r="AC67" s="154">
        <v>0.43</v>
      </c>
      <c r="AD67" s="154">
        <v>0.68</v>
      </c>
      <c r="AE67" s="14" t="s">
        <v>104</v>
      </c>
      <c r="AH67" s="14" t="s">
        <v>104</v>
      </c>
      <c r="AI67" s="14" t="s">
        <v>104</v>
      </c>
      <c r="AJ67" s="14" t="s">
        <v>104</v>
      </c>
      <c r="AK67" s="14" t="s">
        <v>129</v>
      </c>
    </row>
    <row r="68" spans="3:37" x14ac:dyDescent="0.4">
      <c r="AB68" s="14" t="s">
        <v>147</v>
      </c>
      <c r="AC68" s="154">
        <v>0.2</v>
      </c>
      <c r="AD68" s="154">
        <v>0.43</v>
      </c>
      <c r="AE68" s="14" t="s">
        <v>96</v>
      </c>
      <c r="AH68" s="14" t="s">
        <v>104</v>
      </c>
      <c r="AI68" s="14" t="s">
        <v>104</v>
      </c>
      <c r="AJ68" s="14" t="s">
        <v>101</v>
      </c>
      <c r="AK68" s="14" t="s">
        <v>129</v>
      </c>
    </row>
    <row r="69" spans="3:37" x14ac:dyDescent="0.4">
      <c r="AB69" s="14" t="s">
        <v>147</v>
      </c>
      <c r="AC69" s="154">
        <v>0</v>
      </c>
      <c r="AD69" s="154">
        <v>0.2</v>
      </c>
      <c r="AE69" s="14" t="s">
        <v>97</v>
      </c>
      <c r="AF69" s="14" t="s">
        <v>107</v>
      </c>
      <c r="AH69" s="14" t="s">
        <v>104</v>
      </c>
      <c r="AI69" s="14" t="s">
        <v>104</v>
      </c>
      <c r="AJ69" s="14" t="s">
        <v>94</v>
      </c>
      <c r="AK69" s="14" t="s">
        <v>129</v>
      </c>
    </row>
    <row r="70" spans="3:37" x14ac:dyDescent="0.4">
      <c r="AB70" s="14" t="s">
        <v>149</v>
      </c>
      <c r="AC70" s="154">
        <v>27.400001</v>
      </c>
      <c r="AD70" s="154">
        <v>10000000</v>
      </c>
      <c r="AE70" s="14" t="s">
        <v>94</v>
      </c>
      <c r="AF70" s="14" t="s">
        <v>137</v>
      </c>
      <c r="AH70" s="14" t="s">
        <v>104</v>
      </c>
      <c r="AI70" s="14" t="s">
        <v>101</v>
      </c>
      <c r="AJ70" s="14" t="s">
        <v>97</v>
      </c>
      <c r="AK70" s="14" t="s">
        <v>98</v>
      </c>
    </row>
    <row r="71" spans="3:37" x14ac:dyDescent="0.4">
      <c r="AB71" s="14" t="s">
        <v>149</v>
      </c>
      <c r="AC71" s="154">
        <v>23.1</v>
      </c>
      <c r="AD71" s="154">
        <v>27.400001</v>
      </c>
      <c r="AE71" s="14" t="s">
        <v>101</v>
      </c>
      <c r="AH71" s="14" t="s">
        <v>104</v>
      </c>
      <c r="AI71" s="14" t="s">
        <v>101</v>
      </c>
      <c r="AJ71" s="14" t="s">
        <v>96</v>
      </c>
      <c r="AK71" s="14" t="s">
        <v>98</v>
      </c>
    </row>
    <row r="72" spans="3:37" x14ac:dyDescent="0.4">
      <c r="AB72" s="14" t="s">
        <v>149</v>
      </c>
      <c r="AC72" s="154">
        <v>18.8</v>
      </c>
      <c r="AD72" s="154">
        <v>23.1</v>
      </c>
      <c r="AE72" s="14" t="s">
        <v>104</v>
      </c>
      <c r="AH72" s="14" t="s">
        <v>104</v>
      </c>
      <c r="AI72" s="14" t="s">
        <v>101</v>
      </c>
      <c r="AJ72" s="14" t="s">
        <v>104</v>
      </c>
      <c r="AK72" s="14" t="s">
        <v>129</v>
      </c>
    </row>
    <row r="73" spans="3:37" x14ac:dyDescent="0.4">
      <c r="AB73" s="14" t="s">
        <v>149</v>
      </c>
      <c r="AC73" s="154">
        <v>10.4</v>
      </c>
      <c r="AD73" s="154">
        <v>18.8</v>
      </c>
      <c r="AE73" s="14" t="s">
        <v>96</v>
      </c>
      <c r="AH73" s="14" t="s">
        <v>104</v>
      </c>
      <c r="AI73" s="14" t="s">
        <v>101</v>
      </c>
      <c r="AJ73" s="14" t="s">
        <v>101</v>
      </c>
      <c r="AK73" s="14" t="s">
        <v>129</v>
      </c>
    </row>
    <row r="74" spans="3:37" x14ac:dyDescent="0.4">
      <c r="AB74" s="14" t="s">
        <v>149</v>
      </c>
      <c r="AC74" s="154">
        <v>0</v>
      </c>
      <c r="AD74" s="154">
        <v>10.4</v>
      </c>
      <c r="AE74" s="14" t="s">
        <v>97</v>
      </c>
      <c r="AF74" s="14" t="s">
        <v>107</v>
      </c>
      <c r="AH74" s="14" t="s">
        <v>104</v>
      </c>
      <c r="AI74" s="14" t="s">
        <v>101</v>
      </c>
      <c r="AJ74" s="14" t="s">
        <v>94</v>
      </c>
      <c r="AK74" s="14" t="s">
        <v>129</v>
      </c>
    </row>
    <row r="75" spans="3:37" x14ac:dyDescent="0.4">
      <c r="AB75" s="14" t="s">
        <v>150</v>
      </c>
      <c r="AC75" s="154">
        <v>9.6000010000000007</v>
      </c>
      <c r="AD75" s="154">
        <v>10000000</v>
      </c>
      <c r="AE75" s="14" t="s">
        <v>94</v>
      </c>
      <c r="AF75" s="14" t="s">
        <v>137</v>
      </c>
      <c r="AH75" s="14" t="s">
        <v>104</v>
      </c>
      <c r="AI75" s="14" t="s">
        <v>94</v>
      </c>
      <c r="AJ75" s="14" t="s">
        <v>97</v>
      </c>
      <c r="AK75" s="14" t="s">
        <v>98</v>
      </c>
    </row>
    <row r="76" spans="3:37" x14ac:dyDescent="0.4">
      <c r="AB76" s="14" t="s">
        <v>150</v>
      </c>
      <c r="AC76" s="154">
        <v>7.5</v>
      </c>
      <c r="AD76" s="154">
        <v>9.6000010000000007</v>
      </c>
      <c r="AE76" s="14" t="s">
        <v>101</v>
      </c>
      <c r="AH76" s="14" t="s">
        <v>104</v>
      </c>
      <c r="AI76" s="14" t="s">
        <v>94</v>
      </c>
      <c r="AJ76" s="14" t="s">
        <v>96</v>
      </c>
      <c r="AK76" s="14" t="s">
        <v>98</v>
      </c>
    </row>
    <row r="77" spans="3:37" x14ac:dyDescent="0.4">
      <c r="AB77" s="14" t="s">
        <v>150</v>
      </c>
      <c r="AC77" s="154">
        <v>6.2</v>
      </c>
      <c r="AD77" s="154">
        <v>7.5</v>
      </c>
      <c r="AE77" s="14" t="s">
        <v>104</v>
      </c>
      <c r="AH77" s="14" t="s">
        <v>104</v>
      </c>
      <c r="AI77" s="14" t="s">
        <v>94</v>
      </c>
      <c r="AJ77" s="14" t="s">
        <v>104</v>
      </c>
      <c r="AK77" s="14" t="s">
        <v>129</v>
      </c>
    </row>
    <row r="78" spans="3:37" x14ac:dyDescent="0.4">
      <c r="AB78" s="14" t="s">
        <v>150</v>
      </c>
      <c r="AC78" s="154">
        <v>4.5</v>
      </c>
      <c r="AD78" s="154">
        <v>6.2</v>
      </c>
      <c r="AE78" s="14" t="s">
        <v>96</v>
      </c>
      <c r="AH78" s="14" t="s">
        <v>104</v>
      </c>
      <c r="AI78" s="14" t="s">
        <v>94</v>
      </c>
      <c r="AJ78" s="14" t="s">
        <v>101</v>
      </c>
      <c r="AK78" s="14" t="s">
        <v>129</v>
      </c>
    </row>
    <row r="79" spans="3:37" x14ac:dyDescent="0.4">
      <c r="AB79" s="14" t="s">
        <v>150</v>
      </c>
      <c r="AC79" s="154">
        <v>0</v>
      </c>
      <c r="AD79" s="154">
        <v>4.5</v>
      </c>
      <c r="AE79" s="14" t="s">
        <v>97</v>
      </c>
      <c r="AF79" s="14" t="s">
        <v>107</v>
      </c>
      <c r="AH79" s="14" t="s">
        <v>104</v>
      </c>
      <c r="AI79" s="14" t="s">
        <v>94</v>
      </c>
      <c r="AJ79" s="14" t="s">
        <v>94</v>
      </c>
      <c r="AK79" s="14" t="s">
        <v>129</v>
      </c>
    </row>
    <row r="80" spans="3:37" x14ac:dyDescent="0.4">
      <c r="AB80" s="14" t="s">
        <v>151</v>
      </c>
      <c r="AC80" s="154">
        <v>0</v>
      </c>
      <c r="AD80" s="154">
        <v>2</v>
      </c>
      <c r="AE80" s="14" t="s">
        <v>94</v>
      </c>
      <c r="AH80" s="14" t="s">
        <v>101</v>
      </c>
      <c r="AI80" s="14" t="s">
        <v>97</v>
      </c>
      <c r="AJ80" s="14" t="s">
        <v>97</v>
      </c>
      <c r="AK80" s="14" t="s">
        <v>98</v>
      </c>
    </row>
    <row r="81" spans="28:37" x14ac:dyDescent="0.4">
      <c r="AB81" s="14" t="s">
        <v>151</v>
      </c>
      <c r="AC81" s="154">
        <v>2</v>
      </c>
      <c r="AD81" s="154">
        <v>3</v>
      </c>
      <c r="AE81" s="14" t="s">
        <v>101</v>
      </c>
      <c r="AH81" s="14" t="s">
        <v>101</v>
      </c>
      <c r="AI81" s="14" t="s">
        <v>97</v>
      </c>
      <c r="AJ81" s="14" t="s">
        <v>96</v>
      </c>
      <c r="AK81" s="14" t="s">
        <v>98</v>
      </c>
    </row>
    <row r="82" spans="28:37" x14ac:dyDescent="0.4">
      <c r="AB82" s="14" t="s">
        <v>151</v>
      </c>
      <c r="AC82" s="154">
        <v>3</v>
      </c>
      <c r="AD82" s="154">
        <v>4</v>
      </c>
      <c r="AE82" s="14" t="s">
        <v>104</v>
      </c>
      <c r="AH82" s="14" t="s">
        <v>101</v>
      </c>
      <c r="AI82" s="14" t="s">
        <v>97</v>
      </c>
      <c r="AJ82" s="14" t="s">
        <v>104</v>
      </c>
      <c r="AK82" s="14" t="s">
        <v>98</v>
      </c>
    </row>
    <row r="83" spans="28:37" x14ac:dyDescent="0.4">
      <c r="AB83" s="14" t="s">
        <v>151</v>
      </c>
      <c r="AC83" s="154">
        <v>4</v>
      </c>
      <c r="AD83" s="154">
        <v>6</v>
      </c>
      <c r="AE83" s="14" t="s">
        <v>96</v>
      </c>
      <c r="AH83" s="14" t="s">
        <v>101</v>
      </c>
      <c r="AI83" s="14" t="s">
        <v>97</v>
      </c>
      <c r="AJ83" s="14" t="s">
        <v>101</v>
      </c>
      <c r="AK83" s="14" t="s">
        <v>98</v>
      </c>
    </row>
    <row r="84" spans="28:37" x14ac:dyDescent="0.4">
      <c r="AB84" s="14" t="s">
        <v>151</v>
      </c>
      <c r="AC84" s="155">
        <v>6</v>
      </c>
      <c r="AD84" s="155">
        <v>1000</v>
      </c>
      <c r="AE84" s="14" t="s">
        <v>97</v>
      </c>
      <c r="AF84" s="14" t="s">
        <v>137</v>
      </c>
      <c r="AH84" s="14" t="s">
        <v>101</v>
      </c>
      <c r="AI84" s="14" t="s">
        <v>97</v>
      </c>
      <c r="AJ84" s="14" t="s">
        <v>94</v>
      </c>
      <c r="AK84" s="14" t="s">
        <v>98</v>
      </c>
    </row>
    <row r="85" spans="28:37" x14ac:dyDescent="0.4">
      <c r="AH85" s="14" t="s">
        <v>101</v>
      </c>
      <c r="AI85" s="14" t="s">
        <v>96</v>
      </c>
      <c r="AJ85" s="14" t="s">
        <v>97</v>
      </c>
      <c r="AK85" s="14" t="s">
        <v>98</v>
      </c>
    </row>
    <row r="86" spans="28:37" x14ac:dyDescent="0.4">
      <c r="AB86" s="17" t="s">
        <v>114</v>
      </c>
      <c r="AH86" s="14" t="s">
        <v>101</v>
      </c>
      <c r="AI86" s="14" t="s">
        <v>96</v>
      </c>
      <c r="AJ86" s="14" t="s">
        <v>96</v>
      </c>
      <c r="AK86" s="14" t="s">
        <v>98</v>
      </c>
    </row>
    <row r="87" spans="28:37" x14ac:dyDescent="0.4">
      <c r="AH87" s="14" t="s">
        <v>101</v>
      </c>
      <c r="AI87" s="14" t="s">
        <v>96</v>
      </c>
      <c r="AJ87" s="14" t="s">
        <v>104</v>
      </c>
      <c r="AK87" s="14" t="s">
        <v>98</v>
      </c>
    </row>
    <row r="88" spans="28:37" x14ac:dyDescent="0.4">
      <c r="AB88" s="14" t="s">
        <v>83</v>
      </c>
      <c r="AC88" s="81" t="s">
        <v>115</v>
      </c>
      <c r="AD88" s="14" t="s">
        <v>116</v>
      </c>
      <c r="AE88" s="14" t="s">
        <v>117</v>
      </c>
      <c r="AF88" s="14" t="s">
        <v>52</v>
      </c>
      <c r="AH88" s="14" t="s">
        <v>101</v>
      </c>
      <c r="AI88" s="14" t="s">
        <v>96</v>
      </c>
      <c r="AJ88" s="14" t="s">
        <v>101</v>
      </c>
      <c r="AK88" s="14" t="s">
        <v>98</v>
      </c>
    </row>
    <row r="89" spans="28:37" x14ac:dyDescent="0.4">
      <c r="AB89" s="14" t="s">
        <v>97</v>
      </c>
      <c r="AC89" s="14">
        <v>4.0000099999999996</v>
      </c>
      <c r="AD89" s="14">
        <v>6</v>
      </c>
      <c r="AE89" s="39">
        <v>5</v>
      </c>
      <c r="AF89" s="14" t="s">
        <v>95</v>
      </c>
      <c r="AH89" s="14" t="s">
        <v>101</v>
      </c>
      <c r="AI89" s="14" t="s">
        <v>96</v>
      </c>
      <c r="AJ89" s="14" t="s">
        <v>94</v>
      </c>
      <c r="AK89" s="14" t="s">
        <v>98</v>
      </c>
    </row>
    <row r="90" spans="28:37" x14ac:dyDescent="0.4">
      <c r="AB90" s="14" t="s">
        <v>96</v>
      </c>
      <c r="AC90" s="14">
        <v>3.1</v>
      </c>
      <c r="AD90" s="14">
        <v>4.0000099999999996</v>
      </c>
      <c r="AE90" s="39">
        <v>4</v>
      </c>
      <c r="AH90" s="14" t="s">
        <v>101</v>
      </c>
      <c r="AI90" s="14" t="s">
        <v>104</v>
      </c>
      <c r="AJ90" s="14" t="s">
        <v>97</v>
      </c>
      <c r="AK90" s="14" t="s">
        <v>98</v>
      </c>
    </row>
    <row r="91" spans="28:37" x14ac:dyDescent="0.4">
      <c r="AB91" s="14" t="s">
        <v>104</v>
      </c>
      <c r="AC91" s="14">
        <v>2.1</v>
      </c>
      <c r="AD91" s="14">
        <v>3.09999</v>
      </c>
      <c r="AE91" s="39">
        <v>3</v>
      </c>
      <c r="AH91" s="14" t="s">
        <v>101</v>
      </c>
      <c r="AI91" s="14" t="s">
        <v>104</v>
      </c>
      <c r="AJ91" s="14" t="s">
        <v>96</v>
      </c>
      <c r="AK91" s="14" t="s">
        <v>98</v>
      </c>
    </row>
    <row r="92" spans="28:37" x14ac:dyDescent="0.4">
      <c r="AB92" s="14" t="s">
        <v>101</v>
      </c>
      <c r="AC92" s="14">
        <v>1.1000000000000001</v>
      </c>
      <c r="AD92" s="14">
        <v>2.09999</v>
      </c>
      <c r="AE92" s="39">
        <v>2</v>
      </c>
      <c r="AH92" s="14" t="s">
        <v>101</v>
      </c>
      <c r="AI92" s="14" t="s">
        <v>104</v>
      </c>
      <c r="AJ92" s="14" t="s">
        <v>104</v>
      </c>
      <c r="AK92" s="14" t="s">
        <v>129</v>
      </c>
    </row>
    <row r="93" spans="28:37" x14ac:dyDescent="0.4">
      <c r="AB93" s="14" t="s">
        <v>94</v>
      </c>
      <c r="AC93" s="14">
        <v>0</v>
      </c>
      <c r="AD93" s="14">
        <v>1.09999</v>
      </c>
      <c r="AE93" s="39">
        <v>1</v>
      </c>
      <c r="AF93" s="14" t="s">
        <v>119</v>
      </c>
      <c r="AH93" s="14" t="s">
        <v>101</v>
      </c>
      <c r="AI93" s="14" t="s">
        <v>104</v>
      </c>
      <c r="AJ93" s="14" t="s">
        <v>101</v>
      </c>
      <c r="AK93" s="14" t="s">
        <v>129</v>
      </c>
    </row>
    <row r="94" spans="28:37" x14ac:dyDescent="0.4">
      <c r="AH94" s="14" t="s">
        <v>101</v>
      </c>
      <c r="AI94" s="14" t="s">
        <v>104</v>
      </c>
      <c r="AJ94" s="14" t="s">
        <v>94</v>
      </c>
      <c r="AK94" s="14" t="s">
        <v>129</v>
      </c>
    </row>
    <row r="95" spans="28:37" x14ac:dyDescent="0.4">
      <c r="AH95" s="14" t="s">
        <v>101</v>
      </c>
      <c r="AI95" s="14" t="s">
        <v>101</v>
      </c>
      <c r="AJ95" s="14" t="s">
        <v>97</v>
      </c>
      <c r="AK95" s="14" t="s">
        <v>98</v>
      </c>
    </row>
    <row r="96" spans="28:37" x14ac:dyDescent="0.4">
      <c r="AH96" s="14" t="s">
        <v>101</v>
      </c>
      <c r="AI96" s="14" t="s">
        <v>101</v>
      </c>
      <c r="AJ96" s="14" t="s">
        <v>96</v>
      </c>
      <c r="AK96" s="14" t="s">
        <v>98</v>
      </c>
    </row>
    <row r="97" spans="34:37" x14ac:dyDescent="0.4">
      <c r="AH97" s="14" t="s">
        <v>101</v>
      </c>
      <c r="AI97" s="14" t="s">
        <v>101</v>
      </c>
      <c r="AJ97" s="14" t="s">
        <v>104</v>
      </c>
      <c r="AK97" s="14" t="s">
        <v>129</v>
      </c>
    </row>
    <row r="98" spans="34:37" x14ac:dyDescent="0.4">
      <c r="AH98" s="14" t="s">
        <v>101</v>
      </c>
      <c r="AI98" s="14" t="s">
        <v>101</v>
      </c>
      <c r="AJ98" s="14" t="s">
        <v>101</v>
      </c>
      <c r="AK98" s="14" t="s">
        <v>129</v>
      </c>
    </row>
    <row r="99" spans="34:37" x14ac:dyDescent="0.4">
      <c r="AH99" s="14" t="s">
        <v>101</v>
      </c>
      <c r="AI99" s="14" t="s">
        <v>101</v>
      </c>
      <c r="AJ99" s="14" t="s">
        <v>94</v>
      </c>
      <c r="AK99" s="14" t="s">
        <v>129</v>
      </c>
    </row>
    <row r="100" spans="34:37" x14ac:dyDescent="0.4">
      <c r="AH100" s="14" t="s">
        <v>101</v>
      </c>
      <c r="AI100" s="14" t="s">
        <v>94</v>
      </c>
      <c r="AJ100" s="14" t="s">
        <v>97</v>
      </c>
      <c r="AK100" s="14" t="s">
        <v>98</v>
      </c>
    </row>
    <row r="101" spans="34:37" x14ac:dyDescent="0.4">
      <c r="AH101" s="14" t="s">
        <v>101</v>
      </c>
      <c r="AI101" s="14" t="s">
        <v>94</v>
      </c>
      <c r="AJ101" s="14" t="s">
        <v>96</v>
      </c>
      <c r="AK101" s="14" t="s">
        <v>98</v>
      </c>
    </row>
    <row r="102" spans="34:37" x14ac:dyDescent="0.4">
      <c r="AH102" s="14" t="s">
        <v>101</v>
      </c>
      <c r="AI102" s="14" t="s">
        <v>94</v>
      </c>
      <c r="AJ102" s="14" t="s">
        <v>104</v>
      </c>
      <c r="AK102" s="14" t="s">
        <v>129</v>
      </c>
    </row>
    <row r="103" spans="34:37" x14ac:dyDescent="0.4">
      <c r="AH103" s="14" t="s">
        <v>101</v>
      </c>
      <c r="AI103" s="14" t="s">
        <v>94</v>
      </c>
      <c r="AJ103" s="14" t="s">
        <v>101</v>
      </c>
      <c r="AK103" s="14" t="s">
        <v>129</v>
      </c>
    </row>
    <row r="104" spans="34:37" x14ac:dyDescent="0.4">
      <c r="AH104" s="14" t="s">
        <v>101</v>
      </c>
      <c r="AI104" s="14" t="s">
        <v>94</v>
      </c>
      <c r="AJ104" s="14" t="s">
        <v>94</v>
      </c>
      <c r="AK104" s="14" t="s">
        <v>129</v>
      </c>
    </row>
    <row r="105" spans="34:37" x14ac:dyDescent="0.4">
      <c r="AH105" s="14" t="s">
        <v>94</v>
      </c>
      <c r="AI105" s="14" t="s">
        <v>97</v>
      </c>
      <c r="AJ105" s="14" t="s">
        <v>97</v>
      </c>
      <c r="AK105" s="14" t="s">
        <v>98</v>
      </c>
    </row>
    <row r="106" spans="34:37" x14ac:dyDescent="0.4">
      <c r="AH106" s="14" t="s">
        <v>94</v>
      </c>
      <c r="AI106" s="14" t="s">
        <v>97</v>
      </c>
      <c r="AJ106" s="14" t="s">
        <v>96</v>
      </c>
      <c r="AK106" s="14" t="s">
        <v>98</v>
      </c>
    </row>
    <row r="107" spans="34:37" x14ac:dyDescent="0.4">
      <c r="AH107" s="14" t="s">
        <v>94</v>
      </c>
      <c r="AI107" s="14" t="s">
        <v>97</v>
      </c>
      <c r="AJ107" s="14" t="s">
        <v>104</v>
      </c>
      <c r="AK107" s="14" t="s">
        <v>98</v>
      </c>
    </row>
    <row r="108" spans="34:37" x14ac:dyDescent="0.4">
      <c r="AH108" s="14" t="s">
        <v>94</v>
      </c>
      <c r="AI108" s="14" t="s">
        <v>97</v>
      </c>
      <c r="AJ108" s="14" t="s">
        <v>101</v>
      </c>
      <c r="AK108" s="14" t="s">
        <v>98</v>
      </c>
    </row>
    <row r="109" spans="34:37" x14ac:dyDescent="0.4">
      <c r="AH109" s="14" t="s">
        <v>94</v>
      </c>
      <c r="AI109" s="14" t="s">
        <v>97</v>
      </c>
      <c r="AJ109" s="14" t="s">
        <v>94</v>
      </c>
      <c r="AK109" s="14" t="s">
        <v>98</v>
      </c>
    </row>
    <row r="110" spans="34:37" x14ac:dyDescent="0.4">
      <c r="AH110" s="14" t="s">
        <v>94</v>
      </c>
      <c r="AI110" s="14" t="s">
        <v>96</v>
      </c>
      <c r="AJ110" s="14" t="s">
        <v>97</v>
      </c>
      <c r="AK110" s="14" t="s">
        <v>98</v>
      </c>
    </row>
    <row r="111" spans="34:37" x14ac:dyDescent="0.4">
      <c r="AH111" s="14" t="s">
        <v>94</v>
      </c>
      <c r="AI111" s="14" t="s">
        <v>96</v>
      </c>
      <c r="AJ111" s="14" t="s">
        <v>96</v>
      </c>
      <c r="AK111" s="14" t="s">
        <v>98</v>
      </c>
    </row>
    <row r="112" spans="34:37" x14ac:dyDescent="0.4">
      <c r="AH112" s="14" t="s">
        <v>94</v>
      </c>
      <c r="AI112" s="14" t="s">
        <v>96</v>
      </c>
      <c r="AJ112" s="14" t="s">
        <v>104</v>
      </c>
      <c r="AK112" s="14" t="s">
        <v>98</v>
      </c>
    </row>
    <row r="113" spans="34:37" x14ac:dyDescent="0.4">
      <c r="AH113" s="14" t="s">
        <v>94</v>
      </c>
      <c r="AI113" s="14" t="s">
        <v>96</v>
      </c>
      <c r="AJ113" s="14" t="s">
        <v>101</v>
      </c>
      <c r="AK113" s="14" t="s">
        <v>98</v>
      </c>
    </row>
    <row r="114" spans="34:37" x14ac:dyDescent="0.4">
      <c r="AH114" s="14" t="s">
        <v>94</v>
      </c>
      <c r="AI114" s="14" t="s">
        <v>96</v>
      </c>
      <c r="AJ114" s="14" t="s">
        <v>94</v>
      </c>
      <c r="AK114" s="14" t="s">
        <v>98</v>
      </c>
    </row>
    <row r="115" spans="34:37" x14ac:dyDescent="0.4">
      <c r="AH115" s="14" t="s">
        <v>94</v>
      </c>
      <c r="AI115" s="14" t="s">
        <v>104</v>
      </c>
      <c r="AJ115" s="14" t="s">
        <v>97</v>
      </c>
      <c r="AK115" s="14" t="s">
        <v>98</v>
      </c>
    </row>
    <row r="116" spans="34:37" x14ac:dyDescent="0.4">
      <c r="AH116" s="14" t="s">
        <v>94</v>
      </c>
      <c r="AI116" s="14" t="s">
        <v>104</v>
      </c>
      <c r="AJ116" s="14" t="s">
        <v>96</v>
      </c>
      <c r="AK116" s="14" t="s">
        <v>98</v>
      </c>
    </row>
    <row r="117" spans="34:37" x14ac:dyDescent="0.4">
      <c r="AH117" s="14" t="s">
        <v>94</v>
      </c>
      <c r="AI117" s="14" t="s">
        <v>104</v>
      </c>
      <c r="AJ117" s="14" t="s">
        <v>104</v>
      </c>
      <c r="AK117" s="14" t="s">
        <v>129</v>
      </c>
    </row>
    <row r="118" spans="34:37" x14ac:dyDescent="0.4">
      <c r="AH118" s="14" t="s">
        <v>94</v>
      </c>
      <c r="AI118" s="14" t="s">
        <v>104</v>
      </c>
      <c r="AJ118" s="14" t="s">
        <v>101</v>
      </c>
      <c r="AK118" s="14" t="s">
        <v>129</v>
      </c>
    </row>
    <row r="119" spans="34:37" x14ac:dyDescent="0.4">
      <c r="AH119" s="14" t="s">
        <v>94</v>
      </c>
      <c r="AI119" s="14" t="s">
        <v>104</v>
      </c>
      <c r="AJ119" s="14" t="s">
        <v>94</v>
      </c>
      <c r="AK119" s="14" t="s">
        <v>129</v>
      </c>
    </row>
    <row r="120" spans="34:37" x14ac:dyDescent="0.4">
      <c r="AH120" s="14" t="s">
        <v>94</v>
      </c>
      <c r="AI120" s="14" t="s">
        <v>101</v>
      </c>
      <c r="AJ120" s="14" t="s">
        <v>97</v>
      </c>
      <c r="AK120" s="14" t="s">
        <v>98</v>
      </c>
    </row>
    <row r="121" spans="34:37" x14ac:dyDescent="0.4">
      <c r="AH121" s="14" t="s">
        <v>94</v>
      </c>
      <c r="AI121" s="14" t="s">
        <v>101</v>
      </c>
      <c r="AJ121" s="14" t="s">
        <v>96</v>
      </c>
      <c r="AK121" s="14" t="s">
        <v>98</v>
      </c>
    </row>
    <row r="122" spans="34:37" x14ac:dyDescent="0.4">
      <c r="AH122" s="14" t="s">
        <v>94</v>
      </c>
      <c r="AI122" s="14" t="s">
        <v>101</v>
      </c>
      <c r="AJ122" s="14" t="s">
        <v>104</v>
      </c>
      <c r="AK122" s="14" t="s">
        <v>129</v>
      </c>
    </row>
    <row r="123" spans="34:37" x14ac:dyDescent="0.4">
      <c r="AH123" s="14" t="s">
        <v>94</v>
      </c>
      <c r="AI123" s="14" t="s">
        <v>101</v>
      </c>
      <c r="AJ123" s="14" t="s">
        <v>101</v>
      </c>
      <c r="AK123" s="14" t="s">
        <v>129</v>
      </c>
    </row>
    <row r="124" spans="34:37" x14ac:dyDescent="0.4">
      <c r="AH124" s="14" t="s">
        <v>94</v>
      </c>
      <c r="AI124" s="14" t="s">
        <v>101</v>
      </c>
      <c r="AJ124" s="14" t="s">
        <v>94</v>
      </c>
      <c r="AK124" s="14" t="s">
        <v>129</v>
      </c>
    </row>
    <row r="125" spans="34:37" x14ac:dyDescent="0.4">
      <c r="AH125" s="14" t="s">
        <v>94</v>
      </c>
      <c r="AI125" s="14" t="s">
        <v>94</v>
      </c>
      <c r="AJ125" s="14" t="s">
        <v>97</v>
      </c>
      <c r="AK125" s="14" t="s">
        <v>98</v>
      </c>
    </row>
    <row r="126" spans="34:37" x14ac:dyDescent="0.4">
      <c r="AH126" s="14" t="s">
        <v>94</v>
      </c>
      <c r="AI126" s="14" t="s">
        <v>94</v>
      </c>
      <c r="AJ126" s="14" t="s">
        <v>96</v>
      </c>
      <c r="AK126" s="14" t="s">
        <v>98</v>
      </c>
    </row>
    <row r="127" spans="34:37" x14ac:dyDescent="0.4">
      <c r="AH127" s="14" t="s">
        <v>94</v>
      </c>
      <c r="AI127" s="14" t="s">
        <v>94</v>
      </c>
      <c r="AJ127" s="14" t="s">
        <v>104</v>
      </c>
      <c r="AK127" s="14" t="s">
        <v>129</v>
      </c>
    </row>
    <row r="128" spans="34:37" x14ac:dyDescent="0.4">
      <c r="AH128" s="14" t="s">
        <v>94</v>
      </c>
      <c r="AI128" s="14" t="s">
        <v>94</v>
      </c>
      <c r="AJ128" s="14" t="s">
        <v>101</v>
      </c>
      <c r="AK128" s="14" t="s">
        <v>129</v>
      </c>
    </row>
    <row r="129" spans="34:37" x14ac:dyDescent="0.4">
      <c r="AH129" s="14" t="s">
        <v>94</v>
      </c>
      <c r="AI129" s="14" t="s">
        <v>94</v>
      </c>
      <c r="AJ129" s="14" t="s">
        <v>94</v>
      </c>
      <c r="AK129" s="14" t="s">
        <v>129</v>
      </c>
    </row>
  </sheetData>
  <sheetProtection algorithmName="SHA-512" hashValue="GR5tAlXzNG0CiVTeNBAI8eqxU6tPahX8Q3MxpizenSwSfD2WieDgbc3X7nAp9FaUTo38Lx4/rLg06D4/QX9BXw==" saltValue="zUP7nZEglh3e+iuWNsHGDg==" spinCount="100000" sheet="1" objects="1" scenarios="1"/>
  <phoneticPr fontId="6" type="noConversion"/>
  <dataValidations count="1">
    <dataValidation type="date" allowBlank="1" showInputMessage="1" showErrorMessage="1" sqref="D5:D40" xr:uid="{89CA9CB3-6F16-4063-A1A7-A1A8E9E55694}">
      <formula1>43831</formula1>
      <formula2>73051</formula2>
    </dataValidation>
  </dataValidations>
  <pageMargins left="0.7" right="0.7" top="0.75" bottom="0.75" header="0.3" footer="0.3"/>
  <pageSetup orientation="portrait" r:id="rId1"/>
  <ignoredErrors>
    <ignoredError sqref="F45:F50 F52:F53 D58:D60" calculatedColumn="1"/>
    <ignoredError sqref="F51" formulaRange="1" calculatedColumn="1"/>
    <ignoredError sqref="H17:H40" unlockedFormula="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C3B1F45F-BA66-430C-99FD-7745918AA9F5}">
          <x14:formula1>
            <xm:f>'Dropdown tables - Production'!$Z$2:$Z$16</xm:f>
          </x14:formula1>
          <xm:sqref>E29 E5 E17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5564E7-88F1-469D-8FBE-B677C2D1141D}">
  <sheetPr codeName="Sheet22">
    <tabColor theme="9" tint="0.59999389629810485"/>
  </sheetPr>
  <dimension ref="C2:AD100"/>
  <sheetViews>
    <sheetView zoomScale="80" zoomScaleNormal="80" workbookViewId="0"/>
  </sheetViews>
  <sheetFormatPr defaultColWidth="9" defaultRowHeight="16.8" x14ac:dyDescent="0.4"/>
  <cols>
    <col min="1" max="1" width="9" style="14"/>
    <col min="2" max="2" width="0" style="14" hidden="1" customWidth="1"/>
    <col min="3" max="3" width="22.5546875" style="14" customWidth="1"/>
    <col min="4" max="4" width="19.6640625" style="14" customWidth="1"/>
    <col min="5" max="5" width="29.44140625" style="14" bestFit="1" customWidth="1"/>
    <col min="6" max="6" width="28" style="14" bestFit="1" customWidth="1"/>
    <col min="7" max="7" width="24.88671875" style="14" bestFit="1" customWidth="1"/>
    <col min="8" max="8" width="21.88671875" style="14" bestFit="1" customWidth="1"/>
    <col min="9" max="9" width="21.109375" style="14" bestFit="1" customWidth="1"/>
    <col min="10" max="10" width="19" style="14" bestFit="1" customWidth="1"/>
    <col min="11" max="11" width="19.5546875" style="39" customWidth="1"/>
    <col min="12" max="12" width="17.21875" style="14" customWidth="1"/>
    <col min="13" max="13" width="14" style="14" customWidth="1"/>
    <col min="14" max="14" width="27" style="14" customWidth="1"/>
    <col min="15" max="15" width="19.77734375" style="14" customWidth="1"/>
    <col min="16" max="16" width="10.77734375" style="14" customWidth="1"/>
    <col min="17" max="17" width="28.21875" style="14" customWidth="1"/>
    <col min="18" max="18" width="31.77734375" style="14" customWidth="1"/>
    <col min="19" max="19" width="9" style="14"/>
    <col min="20" max="20" width="9.5546875" style="14" bestFit="1" customWidth="1"/>
    <col min="21" max="21" width="9.109375" style="14" bestFit="1" customWidth="1"/>
    <col min="22" max="22" width="9" style="14" customWidth="1"/>
    <col min="23" max="23" width="24.21875" style="14" customWidth="1"/>
    <col min="24" max="24" width="16.88671875" style="14" customWidth="1"/>
    <col min="25" max="25" width="11.5546875" style="14" hidden="1" customWidth="1"/>
    <col min="26" max="26" width="14.77734375" style="14" hidden="1" customWidth="1"/>
    <col min="27" max="28" width="9" style="14" hidden="1" customWidth="1"/>
    <col min="29" max="29" width="16.44140625" style="14" hidden="1" customWidth="1"/>
    <col min="30" max="30" width="5.109375" style="14" customWidth="1"/>
    <col min="31" max="16384" width="9" style="14"/>
  </cols>
  <sheetData>
    <row r="2" spans="3:30" x14ac:dyDescent="0.4">
      <c r="C2" s="17" t="s">
        <v>183</v>
      </c>
      <c r="N2" s="17" t="s">
        <v>184</v>
      </c>
      <c r="Q2" s="17" t="s">
        <v>1914</v>
      </c>
    </row>
    <row r="3" spans="3:30" hidden="1" x14ac:dyDescent="0.4">
      <c r="C3" s="14">
        <v>9.1</v>
      </c>
      <c r="D3" s="14">
        <v>9.1999999999999993</v>
      </c>
      <c r="E3" s="14">
        <v>9.3000000000000007</v>
      </c>
      <c r="F3" s="14">
        <v>9.4</v>
      </c>
      <c r="G3" s="14">
        <v>9.5</v>
      </c>
      <c r="H3" s="14">
        <v>9.6</v>
      </c>
      <c r="I3" s="14">
        <v>9.6999999999999993</v>
      </c>
      <c r="J3" s="14">
        <v>9.8000000000000007</v>
      </c>
      <c r="K3" s="14">
        <v>9.9</v>
      </c>
      <c r="L3" s="14">
        <v>9.11</v>
      </c>
      <c r="N3" s="14">
        <v>9.17</v>
      </c>
      <c r="O3" s="14">
        <v>9.18</v>
      </c>
      <c r="Q3" s="14">
        <v>9.19</v>
      </c>
      <c r="R3" s="14">
        <v>9.2100000000000009</v>
      </c>
      <c r="S3" s="14">
        <v>9.2200000000000006</v>
      </c>
      <c r="T3" s="14">
        <v>9.23</v>
      </c>
      <c r="U3" s="14">
        <v>9.24</v>
      </c>
      <c r="V3" s="14">
        <v>9.25</v>
      </c>
      <c r="W3" s="14">
        <v>9.26</v>
      </c>
      <c r="X3" s="14">
        <v>9.27</v>
      </c>
      <c r="Y3" s="14">
        <v>9.2799999999999994</v>
      </c>
      <c r="Z3" s="14">
        <v>9.2899999999999991</v>
      </c>
      <c r="AA3" s="14">
        <v>9.3000000000000007</v>
      </c>
      <c r="AB3" s="14">
        <v>9.31</v>
      </c>
      <c r="AC3" s="14">
        <v>9.32</v>
      </c>
      <c r="AD3" s="14">
        <v>9.33</v>
      </c>
    </row>
    <row r="4" spans="3:30" s="16" customFormat="1" ht="33.6" x14ac:dyDescent="0.4">
      <c r="C4" s="48" t="s">
        <v>185</v>
      </c>
      <c r="D4" s="49" t="s">
        <v>186</v>
      </c>
      <c r="E4" s="48" t="s">
        <v>187</v>
      </c>
      <c r="F4" s="48" t="s">
        <v>188</v>
      </c>
      <c r="G4" s="48" t="s">
        <v>189</v>
      </c>
      <c r="H4" s="48" t="s">
        <v>190</v>
      </c>
      <c r="I4" s="48" t="s">
        <v>191</v>
      </c>
      <c r="J4" s="48" t="s">
        <v>192</v>
      </c>
      <c r="K4" s="50" t="s">
        <v>193</v>
      </c>
      <c r="L4" s="54" t="s">
        <v>52</v>
      </c>
      <c r="N4" s="51" t="s">
        <v>68</v>
      </c>
      <c r="O4" s="48" t="s">
        <v>194</v>
      </c>
      <c r="Q4" s="24" t="s">
        <v>68</v>
      </c>
      <c r="R4" s="24" t="s">
        <v>51</v>
      </c>
      <c r="S4" s="24" t="s">
        <v>195</v>
      </c>
      <c r="T4" s="24" t="s">
        <v>196</v>
      </c>
      <c r="U4" s="24" t="s">
        <v>197</v>
      </c>
      <c r="V4" s="24" t="s">
        <v>198</v>
      </c>
      <c r="W4" s="24" t="s">
        <v>199</v>
      </c>
      <c r="X4" s="24" t="s">
        <v>200</v>
      </c>
    </row>
    <row r="5" spans="3:30" x14ac:dyDescent="0.4">
      <c r="C5" s="30"/>
      <c r="D5" s="231"/>
      <c r="E5" s="232"/>
      <c r="F5" s="232"/>
      <c r="G5" s="232"/>
      <c r="H5" s="232"/>
      <c r="I5" s="30"/>
      <c r="J5" s="232"/>
      <c r="K5" s="29"/>
      <c r="L5" s="233"/>
      <c r="N5" s="18" t="str">
        <f>IF('Dropdown tables - Production'!G3= 0, "", 'Dropdown tables - Production'!G3)</f>
        <v/>
      </c>
      <c r="O5" s="30"/>
      <c r="Q5" s="18" t="str">
        <f>IF('Dropdown tables - Production'!G3= 0, "", 'Dropdown tables - Production'!G3)</f>
        <v/>
      </c>
      <c r="R5" s="26" t="str">
        <f>IF(Table11[[#This Row],[Species in production]]= "", "", SUMIFS(Table126[ASC certified net production volume (tonnes)],Table126[Species in production (Latin name) (select)],Feed!Q5))</f>
        <v/>
      </c>
      <c r="S5" s="26" t="str">
        <f>IFERROR((SUMIFS(Table7[Feed use (tonnes)],Table7[Species in production (select)],Table11[[#This Row],[Species in production]])/Table11[[#This Row],[ASC certified net production volume (tonnes)]]), "")</f>
        <v/>
      </c>
      <c r="T5" s="26" t="str" cm="1">
        <f t="array" ref="T5" xml:space="preserve"> IFERROR((((SUMPRODUCT((Q5=Table10[Species in production])*(Table10[Animal protein content (%)]))*R5)/100)/(SUMIFS(Table38[Protein fed per feed type (tonnes)],Table7[Species in production (select)],Table11[[#This Row],[Species in production]]))*100), "")</f>
        <v/>
      </c>
      <c r="U5" s="26" t="str">
        <f xml:space="preserve"> IFERROR((SUMIFS(Table38[FM%/yield*feed use], Table7[Species in production (select)],Table11[[#This Row],[Species in production]])/SUMIFS(Table7[Feed use (tonnes)],Table7[Species in production (select)], Table11[[#This Row],[Species in production]])*Table11[[#This Row],[eFCR]]), "")</f>
        <v/>
      </c>
      <c r="V5" s="26" t="str">
        <f xml:space="preserve"> IFERROR((SUMIFS(Table38[FO%/yield*feed use], Table7[Species in production (select)],Table11[[#This Row],[Species in production]])/SUMIFS(Table7[Feed use (tonnes)], Table7[Species in production (select)], Table11[[#This Row],[Species in production]])*Table11[[#This Row],[eFCR]]), "")</f>
        <v/>
      </c>
      <c r="W5" s="26" t="str">
        <f xml:space="preserve"> IFERROR((SUMIFS(Table38[total EPA and DHA in feed, per type (g)],Table7[Species in production (select)], Table11[[#This Row],[Species in production]])/(SUMIFS(Table7[Feed use (tonnes)],Table7[Species in production (select)], Table11[[#This Row],[Species in production]])*1000)), "")</f>
        <v/>
      </c>
      <c r="X5" s="26" t="str">
        <f>IFERROR((SUMIFS(Table38[EPA and DHA% * feed use],Table7[Species in production (select)], Table11[[#This Row],[Species in production]])/(SUMIFS(Table7[Feed use (tonnes)],Table7[Species in production (select)], Table11[[#This Row],[Species in production]]))), "")</f>
        <v/>
      </c>
    </row>
    <row r="6" spans="3:30" x14ac:dyDescent="0.4">
      <c r="C6" s="30"/>
      <c r="D6" s="231"/>
      <c r="E6" s="232"/>
      <c r="F6" s="232"/>
      <c r="G6" s="232"/>
      <c r="H6" s="232"/>
      <c r="I6" s="30"/>
      <c r="J6" s="232"/>
      <c r="K6" s="29"/>
      <c r="L6" s="233"/>
      <c r="N6" s="18" t="str">
        <f>IF('Dropdown tables - Production'!G4= 0, "", 'Dropdown tables - Production'!G4)</f>
        <v/>
      </c>
      <c r="O6" s="30"/>
      <c r="Q6" s="18" t="str">
        <f>IF('Dropdown tables - Production'!G4= 0, "", 'Dropdown tables - Production'!G4)</f>
        <v/>
      </c>
      <c r="R6" s="26" t="str">
        <f>IF(Table11[[#This Row],[Species in production]]= "", "", SUMIFS(Table126[ASC certified net production volume (tonnes)],Table126[Species in production (Latin name) (select)],Feed!Q6))</f>
        <v/>
      </c>
      <c r="S6" s="26" t="str">
        <f>IFERROR((SUMIFS(Table7[Feed use (tonnes)],Table7[Species in production (select)],Table11[[#This Row],[Species in production]])/Table11[[#This Row],[ASC certified net production volume (tonnes)]]), "")</f>
        <v/>
      </c>
      <c r="T6" s="26" t="str" cm="1">
        <f t="array" ref="T6" xml:space="preserve"> IFERROR((((SUMPRODUCT((Q6=Table10[Species in production])*(Table10[Animal protein content (%)]))*R6)/100)/(SUMIFS(Table38[Protein fed per feed type (tonnes)],Table7[Species in production (select)],Table11[[#This Row],[Species in production]]))*100), "")</f>
        <v/>
      </c>
      <c r="U6" s="26" t="str">
        <f xml:space="preserve"> IFERROR((SUMIFS(Table38[FM%/yield*feed use], Table7[Species in production (select)],Table11[[#This Row],[Species in production]])/SUMIFS(Table7[Feed use (tonnes)],Table7[Species in production (select)], Table11[[#This Row],[Species in production]])*Table11[[#This Row],[eFCR]]), "")</f>
        <v/>
      </c>
      <c r="V6" s="26" t="str">
        <f xml:space="preserve"> IFERROR((SUMIFS(Table38[FO%/yield*feed use], Table7[Species in production (select)],Table11[[#This Row],[Species in production]])/SUMIFS(Table7[Feed use (tonnes)], Table7[Species in production (select)], Table11[[#This Row],[Species in production]])*Table11[[#This Row],[eFCR]]), "")</f>
        <v/>
      </c>
      <c r="W6" s="26" t="str">
        <f xml:space="preserve"> IFERROR((SUMIFS(Table38[total EPA and DHA in feed, per type (g)],Table7[Species in production (select)], Table11[[#This Row],[Species in production]])/(SUMIFS(Table7[Feed use (tonnes)],Table7[Species in production (select)], Table11[[#This Row],[Species in production]])*1000)), "")</f>
        <v/>
      </c>
      <c r="X6" s="26" t="str">
        <f>IFERROR((SUMIFS(Table38[EPA and DHA% * feed use],Table7[Species in production (select)], Table11[[#This Row],[Species in production]])/(SUMIFS(Table7[Feed use (tonnes)],Table7[Species in production (select)], Table11[[#This Row],[Species in production]]))), "")</f>
        <v/>
      </c>
    </row>
    <row r="7" spans="3:30" x14ac:dyDescent="0.4">
      <c r="C7" s="30"/>
      <c r="D7" s="231"/>
      <c r="E7" s="232"/>
      <c r="F7" s="232"/>
      <c r="G7" s="232"/>
      <c r="H7" s="232"/>
      <c r="I7" s="30"/>
      <c r="J7" s="232"/>
      <c r="K7" s="29"/>
      <c r="L7" s="233"/>
      <c r="N7" s="18" t="str">
        <f>IF('Dropdown tables - Production'!G5= 0, "", 'Dropdown tables - Production'!G5)</f>
        <v/>
      </c>
      <c r="O7" s="30"/>
      <c r="Q7" s="18" t="str">
        <f>IF('Dropdown tables - Production'!G5= 0, "", 'Dropdown tables - Production'!G5)</f>
        <v/>
      </c>
      <c r="R7" s="26" t="str">
        <f>IF(Table11[[#This Row],[Species in production]]= "", "", SUMIFS(Table126[ASC certified net production volume (tonnes)],Table126[Species in production (Latin name) (select)],Feed!Q7))</f>
        <v/>
      </c>
      <c r="S7" s="26" t="str">
        <f>IFERROR((SUMIFS(Table7[Feed use (tonnes)],Table7[Species in production (select)],Table11[[#This Row],[Species in production]])/Table11[[#This Row],[ASC certified net production volume (tonnes)]]), "")</f>
        <v/>
      </c>
      <c r="T7" s="26" t="str" cm="1">
        <f t="array" ref="T7" xml:space="preserve"> IFERROR((((SUMPRODUCT((Q7=Table10[Species in production])*(Table10[Animal protein content (%)]))*R7)/100)/(SUMIFS(Table38[Protein fed per feed type (tonnes)],Table7[Species in production (select)],Table11[[#This Row],[Species in production]]))*100), "")</f>
        <v/>
      </c>
      <c r="U7" s="26" t="str">
        <f xml:space="preserve"> IFERROR((SUMIFS(Table38[FM%/yield*feed use], Table7[Species in production (select)],Table11[[#This Row],[Species in production]])/SUMIFS(Table7[Feed use (tonnes)],Table7[Species in production (select)], Table11[[#This Row],[Species in production]])*Table11[[#This Row],[eFCR]]), "")</f>
        <v/>
      </c>
      <c r="V7" s="26" t="str">
        <f xml:space="preserve"> IFERROR((SUMIFS(Table38[FO%/yield*feed use], Table7[Species in production (select)],Table11[[#This Row],[Species in production]])/SUMIFS(Table7[Feed use (tonnes)], Table7[Species in production (select)], Table11[[#This Row],[Species in production]])*Table11[[#This Row],[eFCR]]), "")</f>
        <v/>
      </c>
      <c r="W7" s="26" t="str">
        <f xml:space="preserve"> IFERROR((SUMIFS(Table38[total EPA and DHA in feed, per type (g)],Table7[Species in production (select)], Table11[[#This Row],[Species in production]])/(SUMIFS(Table7[Feed use (tonnes)],Table7[Species in production (select)], Table11[[#This Row],[Species in production]])*1000)), "")</f>
        <v/>
      </c>
      <c r="X7" s="26" t="str">
        <f>IFERROR((SUMIFS(Table38[EPA and DHA% * feed use],Table7[Species in production (select)], Table11[[#This Row],[Species in production]])/(SUMIFS(Table7[Feed use (tonnes)],Table7[Species in production (select)], Table11[[#This Row],[Species in production]]))), "")</f>
        <v/>
      </c>
    </row>
    <row r="8" spans="3:30" x14ac:dyDescent="0.4">
      <c r="C8" s="30"/>
      <c r="D8" s="231"/>
      <c r="E8" s="232"/>
      <c r="F8" s="232"/>
      <c r="G8" s="232"/>
      <c r="H8" s="232"/>
      <c r="I8" s="30"/>
      <c r="J8" s="232"/>
      <c r="K8" s="29"/>
      <c r="L8" s="233"/>
      <c r="N8" s="18" t="str">
        <f>IF('Dropdown tables - Production'!G6= 0, "", 'Dropdown tables - Production'!G6)</f>
        <v/>
      </c>
      <c r="O8" s="30"/>
      <c r="Q8" s="18" t="str">
        <f>IF('Dropdown tables - Production'!G6= 0, "", 'Dropdown tables - Production'!G6)</f>
        <v/>
      </c>
      <c r="R8" s="26" t="str">
        <f>IF(Table11[[#This Row],[Species in production]]= "", "", SUMIFS(Table126[ASC certified net production volume (tonnes)],Table126[Species in production (Latin name) (select)],Feed!Q8))</f>
        <v/>
      </c>
      <c r="S8" s="26" t="str">
        <f>IFERROR((SUMIFS(Table7[Feed use (tonnes)],Table7[Species in production (select)],Table11[[#This Row],[Species in production]])/Table11[[#This Row],[ASC certified net production volume (tonnes)]]), "")</f>
        <v/>
      </c>
      <c r="T8" s="26" t="str" cm="1">
        <f t="array" ref="T8" xml:space="preserve"> IFERROR((((SUMPRODUCT((Q8=Table10[Species in production])*(Table10[Animal protein content (%)]))*R8)/100)/(SUMIFS(Table38[Protein fed per feed type (tonnes)],Table7[Species in production (select)],Table11[[#This Row],[Species in production]]))*100), "")</f>
        <v/>
      </c>
      <c r="U8" s="26" t="str">
        <f xml:space="preserve"> IFERROR((SUMIFS(Table38[FM%/yield*feed use], Table7[Species in production (select)],Table11[[#This Row],[Species in production]])/SUMIFS(Table7[Feed use (tonnes)],Table7[Species in production (select)], Table11[[#This Row],[Species in production]])*Table11[[#This Row],[eFCR]]), "")</f>
        <v/>
      </c>
      <c r="V8" s="26" t="str">
        <f xml:space="preserve"> IFERROR((SUMIFS(Table38[FO%/yield*feed use], Table7[Species in production (select)],Table11[[#This Row],[Species in production]])/SUMIFS(Table7[Feed use (tonnes)], Table7[Species in production (select)], Table11[[#This Row],[Species in production]])*Table11[[#This Row],[eFCR]]), "")</f>
        <v/>
      </c>
      <c r="W8" s="26" t="str">
        <f xml:space="preserve"> IFERROR((SUMIFS(Table38[total EPA and DHA in feed, per type (g)],Table7[Species in production (select)], Table11[[#This Row],[Species in production]])/(SUMIFS(Table7[Feed use (tonnes)],Table7[Species in production (select)], Table11[[#This Row],[Species in production]])*1000)), "")</f>
        <v/>
      </c>
      <c r="X8" s="26" t="str">
        <f>IFERROR((SUMIFS(Table38[EPA and DHA% * feed use],Table7[Species in production (select)], Table11[[#This Row],[Species in production]])/(SUMIFS(Table7[Feed use (tonnes)],Table7[Species in production (select)], Table11[[#This Row],[Species in production]]))), "")</f>
        <v/>
      </c>
    </row>
    <row r="9" spans="3:30" x14ac:dyDescent="0.4">
      <c r="C9" s="30"/>
      <c r="D9" s="231"/>
      <c r="E9" s="232"/>
      <c r="F9" s="232"/>
      <c r="G9" s="232"/>
      <c r="H9" s="232"/>
      <c r="I9" s="30"/>
      <c r="J9" s="232"/>
      <c r="K9" s="29"/>
      <c r="L9" s="233"/>
      <c r="N9" s="18" t="str">
        <f>IF('Dropdown tables - Production'!G7= 0, "", 'Dropdown tables - Production'!G7)</f>
        <v/>
      </c>
      <c r="O9" s="30"/>
      <c r="Q9" s="18" t="str">
        <f>IF('Dropdown tables - Production'!G7= 0, "", 'Dropdown tables - Production'!G7)</f>
        <v/>
      </c>
      <c r="R9" s="26" t="str">
        <f>IF(Table11[[#This Row],[Species in production]]= "", "", SUMIFS(Table126[ASC certified net production volume (tonnes)],Table126[Species in production (Latin name) (select)],Feed!Q9))</f>
        <v/>
      </c>
      <c r="S9" s="26" t="str">
        <f>IFERROR((SUMIFS(Table7[Feed use (tonnes)],Table7[Species in production (select)],Table11[[#This Row],[Species in production]])/Table11[[#This Row],[ASC certified net production volume (tonnes)]]), "")</f>
        <v/>
      </c>
      <c r="T9" s="26" t="str" cm="1">
        <f t="array" ref="T9" xml:space="preserve"> IFERROR((((SUMPRODUCT((Q9=Table10[Species in production])*(Table10[Animal protein content (%)]))*R9)/100)/(SUMIFS(Table38[Protein fed per feed type (tonnes)],Table7[Species in production (select)],Table11[[#This Row],[Species in production]]))*100), "")</f>
        <v/>
      </c>
      <c r="U9" s="26" t="str">
        <f xml:space="preserve"> IFERROR((SUMIFS(Table38[FM%/yield*feed use], Table7[Species in production (select)],Table11[[#This Row],[Species in production]])/SUMIFS(Table7[Feed use (tonnes)],Table7[Species in production (select)], Table11[[#This Row],[Species in production]])*Table11[[#This Row],[eFCR]]), "")</f>
        <v/>
      </c>
      <c r="V9" s="26" t="str">
        <f xml:space="preserve"> IFERROR((SUMIFS(Table38[FO%/yield*feed use], Table7[Species in production (select)],Table11[[#This Row],[Species in production]])/SUMIFS(Table7[Feed use (tonnes)], Table7[Species in production (select)], Table11[[#This Row],[Species in production]])*Table11[[#This Row],[eFCR]]), "")</f>
        <v/>
      </c>
      <c r="W9" s="26" t="str">
        <f xml:space="preserve"> IFERROR((SUMIFS(Table38[total EPA and DHA in feed, per type (g)],Table7[Species in production (select)], Table11[[#This Row],[Species in production]])/(SUMIFS(Table7[Feed use (tonnes)],Table7[Species in production (select)], Table11[[#This Row],[Species in production]])*1000)), "")</f>
        <v/>
      </c>
      <c r="X9" s="26" t="str">
        <f>IFERROR((SUMIFS(Table38[EPA and DHA% * feed use],Table7[Species in production (select)], Table11[[#This Row],[Species in production]])/(SUMIFS(Table7[Feed use (tonnes)],Table7[Species in production (select)], Table11[[#This Row],[Species in production]]))), "")</f>
        <v/>
      </c>
    </row>
    <row r="10" spans="3:30" x14ac:dyDescent="0.4">
      <c r="C10" s="30"/>
      <c r="D10" s="231"/>
      <c r="E10" s="232"/>
      <c r="F10" s="232"/>
      <c r="G10" s="232"/>
      <c r="H10" s="232"/>
      <c r="I10" s="30"/>
      <c r="J10" s="232"/>
      <c r="K10" s="29"/>
      <c r="L10" s="233"/>
      <c r="N10" s="18" t="str">
        <f>IF('Dropdown tables - Production'!G8= 0, "", 'Dropdown tables - Production'!G8)</f>
        <v/>
      </c>
      <c r="O10" s="30"/>
      <c r="Q10" s="18" t="str">
        <f>IF('Dropdown tables - Production'!G8= 0, "", 'Dropdown tables - Production'!G8)</f>
        <v/>
      </c>
      <c r="R10" s="26" t="str">
        <f>IF(Table11[[#This Row],[Species in production]]= "", "", SUMIFS(Table126[ASC certified net production volume (tonnes)],Table126[Species in production (Latin name) (select)],Feed!Q10))</f>
        <v/>
      </c>
      <c r="S10" s="26" t="str">
        <f>IFERROR((SUMIFS(Table7[Feed use (tonnes)],Table7[Species in production (select)],Table11[[#This Row],[Species in production]])/Table11[[#This Row],[ASC certified net production volume (tonnes)]]), "")</f>
        <v/>
      </c>
      <c r="T10" s="26" t="str" cm="1">
        <f t="array" ref="T10" xml:space="preserve"> IFERROR((((SUMPRODUCT((Q10=Table10[Species in production])*(Table10[Animal protein content (%)]))*R10)/100)/(SUMIFS(Table38[Protein fed per feed type (tonnes)],Table7[Species in production (select)],Table11[[#This Row],[Species in production]]))*100), "")</f>
        <v/>
      </c>
      <c r="U10" s="26" t="str">
        <f xml:space="preserve"> IFERROR((SUMIFS(Table38[FM%/yield*feed use], Table7[Species in production (select)],Table11[[#This Row],[Species in production]])/SUMIFS(Table7[Feed use (tonnes)],Table7[Species in production (select)], Table11[[#This Row],[Species in production]])*Table11[[#This Row],[eFCR]]), "")</f>
        <v/>
      </c>
      <c r="V10" s="26" t="str">
        <f xml:space="preserve"> IFERROR((SUMIFS(Table38[FO%/yield*feed use], Table7[Species in production (select)],Table11[[#This Row],[Species in production]])/SUMIFS(Table7[Feed use (tonnes)], Table7[Species in production (select)], Table11[[#This Row],[Species in production]])*Table11[[#This Row],[eFCR]]), "")</f>
        <v/>
      </c>
      <c r="W10" s="26" t="str">
        <f xml:space="preserve"> IFERROR((SUMIFS(Table38[total EPA and DHA in feed, per type (g)],Table7[Species in production (select)], Table11[[#This Row],[Species in production]])/(SUMIFS(Table7[Feed use (tonnes)],Table7[Species in production (select)], Table11[[#This Row],[Species in production]])*1000)), "")</f>
        <v/>
      </c>
      <c r="X10" s="26" t="str">
        <f>IFERROR((SUMIFS(Table38[EPA and DHA% * feed use],Table7[Species in production (select)], Table11[[#This Row],[Species in production]])/(SUMIFS(Table7[Feed use (tonnes)],Table7[Species in production (select)], Table11[[#This Row],[Species in production]]))), "")</f>
        <v/>
      </c>
    </row>
    <row r="11" spans="3:30" x14ac:dyDescent="0.4">
      <c r="C11" s="30"/>
      <c r="D11" s="231"/>
      <c r="E11" s="232"/>
      <c r="F11" s="232"/>
      <c r="G11" s="232"/>
      <c r="H11" s="232"/>
      <c r="I11" s="30"/>
      <c r="J11" s="232"/>
      <c r="K11" s="29"/>
      <c r="L11" s="233"/>
      <c r="N11" s="18" t="str">
        <f>IF('Dropdown tables - Production'!G9= 0, "", 'Dropdown tables - Production'!G9)</f>
        <v/>
      </c>
      <c r="O11" s="30"/>
      <c r="Q11" s="18" t="str">
        <f>IF('Dropdown tables - Production'!G9= 0, "", 'Dropdown tables - Production'!G9)</f>
        <v/>
      </c>
      <c r="R11" s="26" t="str">
        <f>IF(Table11[[#This Row],[Species in production]]= "", "", SUMIFS(Table126[ASC certified net production volume (tonnes)],Table126[Species in production (Latin name) (select)],Feed!Q11))</f>
        <v/>
      </c>
      <c r="S11" s="26" t="str">
        <f>IFERROR((SUMIFS(Table7[Feed use (tonnes)],Table7[Species in production (select)],Table11[[#This Row],[Species in production]])/Table11[[#This Row],[ASC certified net production volume (tonnes)]]), "")</f>
        <v/>
      </c>
      <c r="T11" s="26" t="str" cm="1">
        <f t="array" ref="T11" xml:space="preserve"> IFERROR((((SUMPRODUCT((Q11=Table10[Species in production])*(Table10[Animal protein content (%)]))*R11)/100)/(SUMIFS(Table38[Protein fed per feed type (tonnes)],Table7[Species in production (select)],Table11[[#This Row],[Species in production]]))*100), "")</f>
        <v/>
      </c>
      <c r="U11" s="26" t="str">
        <f xml:space="preserve"> IFERROR((SUMIFS(Table38[FM%/yield*feed use], Table7[Species in production (select)],Table11[[#This Row],[Species in production]])/SUMIFS(Table7[Feed use (tonnes)],Table7[Species in production (select)], Table11[[#This Row],[Species in production]])*Table11[[#This Row],[eFCR]]), "")</f>
        <v/>
      </c>
      <c r="V11" s="26" t="str">
        <f xml:space="preserve"> IFERROR((SUMIFS(Table38[FO%/yield*feed use], Table7[Species in production (select)],Table11[[#This Row],[Species in production]])/SUMIFS(Table7[Feed use (tonnes)], Table7[Species in production (select)], Table11[[#This Row],[Species in production]])*Table11[[#This Row],[eFCR]]), "")</f>
        <v/>
      </c>
      <c r="W11" s="26" t="str">
        <f xml:space="preserve"> IFERROR((SUMIFS(Table38[total EPA and DHA in feed, per type (g)],Table7[Species in production (select)], Table11[[#This Row],[Species in production]])/(SUMIFS(Table7[Feed use (tonnes)],Table7[Species in production (select)], Table11[[#This Row],[Species in production]])*1000)), "")</f>
        <v/>
      </c>
      <c r="X11" s="26" t="str">
        <f>IFERROR((SUMIFS(Table38[EPA and DHA% * feed use],Table7[Species in production (select)], Table11[[#This Row],[Species in production]])/(SUMIFS(Table7[Feed use (tonnes)],Table7[Species in production (select)], Table11[[#This Row],[Species in production]]))), "")</f>
        <v/>
      </c>
    </row>
    <row r="12" spans="3:30" x14ac:dyDescent="0.4">
      <c r="C12" s="30"/>
      <c r="D12" s="231"/>
      <c r="E12" s="232"/>
      <c r="F12" s="232"/>
      <c r="G12" s="232"/>
      <c r="H12" s="232"/>
      <c r="I12" s="30"/>
      <c r="J12" s="232"/>
      <c r="K12" s="29"/>
      <c r="L12" s="233"/>
      <c r="N12" s="18" t="str">
        <f>IF('Dropdown tables - Production'!G10= 0, "", 'Dropdown tables - Production'!G10)</f>
        <v/>
      </c>
      <c r="O12" s="30"/>
      <c r="Q12" s="18" t="str">
        <f>IF('Dropdown tables - Production'!G10= 0, "", 'Dropdown tables - Production'!G10)</f>
        <v/>
      </c>
      <c r="R12" s="26" t="str">
        <f>IF(Table11[[#This Row],[Species in production]]= "", "", SUMIFS(Table126[ASC certified net production volume (tonnes)],Table126[Species in production (Latin name) (select)],Feed!Q12))</f>
        <v/>
      </c>
      <c r="S12" s="26" t="str">
        <f>IFERROR((SUMIFS(Table7[Feed use (tonnes)],Table7[Species in production (select)],Table11[[#This Row],[Species in production]])/Table11[[#This Row],[ASC certified net production volume (tonnes)]]), "")</f>
        <v/>
      </c>
      <c r="T12" s="26" t="str" cm="1">
        <f t="array" ref="T12" xml:space="preserve"> IFERROR((((SUMPRODUCT((Q12=Table10[Species in production])*(Table10[Animal protein content (%)]))*R12)/100)/(SUMIFS(Table38[Protein fed per feed type (tonnes)],Table7[Species in production (select)],Table11[[#This Row],[Species in production]]))*100), "")</f>
        <v/>
      </c>
      <c r="U12" s="26" t="str">
        <f xml:space="preserve"> IFERROR((SUMIFS(Table38[FM%/yield*feed use], Table7[Species in production (select)],Table11[[#This Row],[Species in production]])/SUMIFS(Table7[Feed use (tonnes)],Table7[Species in production (select)], Table11[[#This Row],[Species in production]])*Table11[[#This Row],[eFCR]]), "")</f>
        <v/>
      </c>
      <c r="V12" s="26" t="str">
        <f xml:space="preserve"> IFERROR((SUMIFS(Table38[FO%/yield*feed use], Table7[Species in production (select)],Table11[[#This Row],[Species in production]])/SUMIFS(Table7[Feed use (tonnes)], Table7[Species in production (select)], Table11[[#This Row],[Species in production]])*Table11[[#This Row],[eFCR]]), "")</f>
        <v/>
      </c>
      <c r="W12" s="26" t="str">
        <f xml:space="preserve"> IFERROR((SUMIFS(Table38[total EPA and DHA in feed, per type (g)],Table7[Species in production (select)], Table11[[#This Row],[Species in production]])/(SUMIFS(Table7[Feed use (tonnes)],Table7[Species in production (select)], Table11[[#This Row],[Species in production]])*1000)), "")</f>
        <v/>
      </c>
      <c r="X12" s="26" t="str">
        <f>IFERROR((SUMIFS(Table38[EPA and DHA% * feed use],Table7[Species in production (select)], Table11[[#This Row],[Species in production]])/(SUMIFS(Table7[Feed use (tonnes)],Table7[Species in production (select)], Table11[[#This Row],[Species in production]]))), "")</f>
        <v/>
      </c>
    </row>
    <row r="13" spans="3:30" x14ac:dyDescent="0.4">
      <c r="C13" s="30"/>
      <c r="D13" s="231"/>
      <c r="E13" s="232"/>
      <c r="F13" s="232"/>
      <c r="G13" s="232"/>
      <c r="H13" s="232"/>
      <c r="I13" s="30"/>
      <c r="J13" s="232"/>
      <c r="K13" s="29"/>
      <c r="L13" s="233"/>
      <c r="N13" s="18" t="str">
        <f>IF('Dropdown tables - Production'!G11= 0, "", 'Dropdown tables - Production'!G11)</f>
        <v/>
      </c>
      <c r="O13" s="30"/>
      <c r="Q13" s="18" t="str">
        <f>IF('Dropdown tables - Production'!G11= 0, "", 'Dropdown tables - Production'!G11)</f>
        <v/>
      </c>
      <c r="R13" s="26" t="str">
        <f>IF(Table11[[#This Row],[Species in production]]= "", "", SUMIFS(Table126[ASC certified net production volume (tonnes)],Table126[Species in production (Latin name) (select)],Feed!Q13))</f>
        <v/>
      </c>
      <c r="S13" s="26" t="str">
        <f>IFERROR((SUMIFS(Table7[Feed use (tonnes)],Table7[Species in production (select)],Table11[[#This Row],[Species in production]])/Table11[[#This Row],[ASC certified net production volume (tonnes)]]), "")</f>
        <v/>
      </c>
      <c r="T13" s="26" t="str" cm="1">
        <f t="array" ref="T13" xml:space="preserve"> IFERROR((((SUMPRODUCT((Q13=Table10[Species in production])*(Table10[Animal protein content (%)]))*R13)/100)/(SUMIFS(Table38[Protein fed per feed type (tonnes)],Table7[Species in production (select)],Table11[[#This Row],[Species in production]]))*100), "")</f>
        <v/>
      </c>
      <c r="U13" s="26" t="str">
        <f xml:space="preserve"> IFERROR((SUMIFS(Table38[FM%/yield*feed use], Table7[Species in production (select)],Table11[[#This Row],[Species in production]])/SUMIFS(Table7[Feed use (tonnes)],Table7[Species in production (select)], Table11[[#This Row],[Species in production]])*Table11[[#This Row],[eFCR]]), "")</f>
        <v/>
      </c>
      <c r="V13" s="26" t="str">
        <f xml:space="preserve"> IFERROR((SUMIFS(Table38[FO%/yield*feed use], Table7[Species in production (select)],Table11[[#This Row],[Species in production]])/SUMIFS(Table7[Feed use (tonnes)], Table7[Species in production (select)], Table11[[#This Row],[Species in production]])*Table11[[#This Row],[eFCR]]), "")</f>
        <v/>
      </c>
      <c r="W13" s="26" t="str">
        <f xml:space="preserve"> IFERROR((SUMIFS(Table38[total EPA and DHA in feed, per type (g)],Table7[Species in production (select)], Table11[[#This Row],[Species in production]])/(SUMIFS(Table7[Feed use (tonnes)],Table7[Species in production (select)], Table11[[#This Row],[Species in production]])*1000)), "")</f>
        <v/>
      </c>
      <c r="X13" s="26" t="str">
        <f>IFERROR((SUMIFS(Table38[EPA and DHA% * feed use],Table7[Species in production (select)], Table11[[#This Row],[Species in production]])/(SUMIFS(Table7[Feed use (tonnes)],Table7[Species in production (select)], Table11[[#This Row],[Species in production]]))), "")</f>
        <v/>
      </c>
    </row>
    <row r="14" spans="3:30" x14ac:dyDescent="0.4">
      <c r="C14" s="30"/>
      <c r="D14" s="231"/>
      <c r="E14" s="232"/>
      <c r="F14" s="232"/>
      <c r="G14" s="232"/>
      <c r="H14" s="232"/>
      <c r="I14" s="30"/>
      <c r="J14" s="232"/>
      <c r="K14" s="29"/>
      <c r="L14" s="233"/>
      <c r="N14" s="18" t="str">
        <f>IF('Dropdown tables - Production'!G12= 0, "", 'Dropdown tables - Production'!G12)</f>
        <v/>
      </c>
      <c r="O14" s="30"/>
      <c r="Q14" s="18" t="str">
        <f>IF('Dropdown tables - Production'!G12= 0, "", 'Dropdown tables - Production'!G12)</f>
        <v/>
      </c>
      <c r="R14" s="26" t="str">
        <f>IF(Table11[[#This Row],[Species in production]]= "", "", SUMIFS(Table126[ASC certified net production volume (tonnes)],Table126[Species in production (Latin name) (select)],Feed!Q14))</f>
        <v/>
      </c>
      <c r="S14" s="26" t="str">
        <f>IFERROR((SUMIFS(Table7[Feed use (tonnes)],Table7[Species in production (select)],Table11[[#This Row],[Species in production]])/Table11[[#This Row],[ASC certified net production volume (tonnes)]]), "")</f>
        <v/>
      </c>
      <c r="T14" s="26" t="str" cm="1">
        <f t="array" ref="T14" xml:space="preserve"> IFERROR((((SUMPRODUCT((Q14=Table10[Species in production])*(Table10[Animal protein content (%)]))*R14)/100)/(SUMIFS(Table38[Protein fed per feed type (tonnes)],Table7[Species in production (select)],Table11[[#This Row],[Species in production]]))*100), "")</f>
        <v/>
      </c>
      <c r="U14" s="26" t="str">
        <f xml:space="preserve"> IFERROR((SUMIFS(Table38[FM%/yield*feed use], Table7[Species in production (select)],Table11[[#This Row],[Species in production]])/SUMIFS(Table7[Feed use (tonnes)],Table7[Species in production (select)], Table11[[#This Row],[Species in production]])*Table11[[#This Row],[eFCR]]), "")</f>
        <v/>
      </c>
      <c r="V14" s="26" t="str">
        <f xml:space="preserve"> IFERROR((SUMIFS(Table38[FO%/yield*feed use], Table7[Species in production (select)],Table11[[#This Row],[Species in production]])/SUMIFS(Table7[Feed use (tonnes)], Table7[Species in production (select)], Table11[[#This Row],[Species in production]])*Table11[[#This Row],[eFCR]]), "")</f>
        <v/>
      </c>
      <c r="W14" s="26" t="str">
        <f xml:space="preserve"> IFERROR((SUMIFS(Table38[total EPA and DHA in feed, per type (g)],Table7[Species in production (select)], Table11[[#This Row],[Species in production]])/(SUMIFS(Table7[Feed use (tonnes)],Table7[Species in production (select)], Table11[[#This Row],[Species in production]])*1000)), "")</f>
        <v/>
      </c>
      <c r="X14" s="26" t="str">
        <f>IFERROR((SUMIFS(Table38[EPA and DHA% * feed use],Table7[Species in production (select)], Table11[[#This Row],[Species in production]])/(SUMIFS(Table7[Feed use (tonnes)],Table7[Species in production (select)], Table11[[#This Row],[Species in production]]))), "")</f>
        <v/>
      </c>
    </row>
    <row r="15" spans="3:30" x14ac:dyDescent="0.4">
      <c r="C15" s="30"/>
      <c r="D15" s="231"/>
      <c r="E15" s="232"/>
      <c r="F15" s="232"/>
      <c r="G15" s="232"/>
      <c r="H15" s="232"/>
      <c r="I15" s="30"/>
      <c r="J15" s="232"/>
      <c r="K15" s="29"/>
      <c r="L15" s="233"/>
      <c r="N15" s="18" t="str">
        <f>IF('Dropdown tables - Production'!G13= 0, "", 'Dropdown tables - Production'!G13)</f>
        <v/>
      </c>
      <c r="O15" s="30"/>
      <c r="Q15" s="18" t="str">
        <f>IF('Dropdown tables - Production'!G13= 0, "", 'Dropdown tables - Production'!G13)</f>
        <v/>
      </c>
      <c r="R15" s="26" t="str">
        <f>IF(Table11[[#This Row],[Species in production]]= "", "", SUMIFS(Table126[ASC certified net production volume (tonnes)],Table126[Species in production (Latin name) (select)],Feed!Q15))</f>
        <v/>
      </c>
      <c r="S15" s="26" t="str">
        <f>IFERROR((SUMIFS(Table7[Feed use (tonnes)],Table7[Species in production (select)],Table11[[#This Row],[Species in production]])/Table11[[#This Row],[ASC certified net production volume (tonnes)]]), "")</f>
        <v/>
      </c>
      <c r="T15" s="26" t="str" cm="1">
        <f t="array" ref="T15" xml:space="preserve"> IFERROR((((SUMPRODUCT((Q15=Table10[Species in production])*(Table10[Animal protein content (%)]))*R15)/100)/(SUMIFS(Table38[Protein fed per feed type (tonnes)],Table7[Species in production (select)],Table11[[#This Row],[Species in production]]))*100), "")</f>
        <v/>
      </c>
      <c r="U15" s="26" t="str">
        <f xml:space="preserve"> IFERROR((SUMIFS(Table38[FM%/yield*feed use], Table7[Species in production (select)],Table11[[#This Row],[Species in production]])/SUMIFS(Table7[Feed use (tonnes)],Table7[Species in production (select)], Table11[[#This Row],[Species in production]])*Table11[[#This Row],[eFCR]]), "")</f>
        <v/>
      </c>
      <c r="V15" s="26" t="str">
        <f xml:space="preserve"> IFERROR((SUMIFS(Table38[FO%/yield*feed use], Table7[Species in production (select)],Table11[[#This Row],[Species in production]])/SUMIFS(Table7[Feed use (tonnes)], Table7[Species in production (select)], Table11[[#This Row],[Species in production]])*Table11[[#This Row],[eFCR]]), "")</f>
        <v/>
      </c>
      <c r="W15" s="26" t="str">
        <f xml:space="preserve"> IFERROR((SUMIFS(Table38[total EPA and DHA in feed, per type (g)],Table7[Species in production (select)], Table11[[#This Row],[Species in production]])/(SUMIFS(Table7[Feed use (tonnes)],Table7[Species in production (select)], Table11[[#This Row],[Species in production]])*1000)), "")</f>
        <v/>
      </c>
      <c r="X15" s="26" t="str">
        <f>IFERROR((SUMIFS(Table38[EPA and DHA% * feed use],Table7[Species in production (select)], Table11[[#This Row],[Species in production]])/(SUMIFS(Table7[Feed use (tonnes)],Table7[Species in production (select)], Table11[[#This Row],[Species in production]]))), "")</f>
        <v/>
      </c>
    </row>
    <row r="16" spans="3:30" x14ac:dyDescent="0.4">
      <c r="C16" s="30"/>
      <c r="D16" s="231"/>
      <c r="E16" s="232"/>
      <c r="F16" s="232"/>
      <c r="G16" s="232"/>
      <c r="H16" s="232"/>
      <c r="I16" s="30"/>
      <c r="J16" s="232"/>
      <c r="K16" s="29"/>
      <c r="L16" s="233"/>
      <c r="N16" s="18" t="str">
        <f>IF('Dropdown tables - Production'!G14= 0, "", 'Dropdown tables - Production'!G14)</f>
        <v/>
      </c>
      <c r="O16" s="30"/>
      <c r="Q16" s="18" t="str">
        <f>IF('Dropdown tables - Production'!G14= 0, "", 'Dropdown tables - Production'!G14)</f>
        <v/>
      </c>
      <c r="R16" s="26" t="str">
        <f>IF(Table11[[#This Row],[Species in production]]= "", "", SUMIFS(Table126[ASC certified net production volume (tonnes)],Table126[Species in production (Latin name) (select)],Feed!Q16))</f>
        <v/>
      </c>
      <c r="S16" s="26" t="str">
        <f>IFERROR((SUMIFS(Table7[Feed use (tonnes)],Table7[Species in production (select)],Table11[[#This Row],[Species in production]])/Table11[[#This Row],[ASC certified net production volume (tonnes)]]), "")</f>
        <v/>
      </c>
      <c r="T16" s="26" t="str" cm="1">
        <f t="array" ref="T16" xml:space="preserve"> IFERROR((((SUMPRODUCT((Q16=Table10[Species in production])*(Table10[Animal protein content (%)]))*R16)/100)/(SUMIFS(Table38[Protein fed per feed type (tonnes)],Table7[Species in production (select)],Table11[[#This Row],[Species in production]]))*100), "")</f>
        <v/>
      </c>
      <c r="U16" s="26" t="str">
        <f xml:space="preserve"> IFERROR((SUMIFS(Table38[FM%/yield*feed use], Table7[Species in production (select)],Table11[[#This Row],[Species in production]])/SUMIFS(Table7[Feed use (tonnes)],Table7[Species in production (select)], Table11[[#This Row],[Species in production]])*Table11[[#This Row],[eFCR]]), "")</f>
        <v/>
      </c>
      <c r="V16" s="26" t="str">
        <f xml:space="preserve"> IFERROR((SUMIFS(Table38[FO%/yield*feed use], Table7[Species in production (select)],Table11[[#This Row],[Species in production]])/SUMIFS(Table7[Feed use (tonnes)], Table7[Species in production (select)], Table11[[#This Row],[Species in production]])*Table11[[#This Row],[eFCR]]), "")</f>
        <v/>
      </c>
      <c r="W16" s="26" t="str">
        <f xml:space="preserve"> IFERROR((SUMIFS(Table38[total EPA and DHA in feed, per type (g)],Table7[Species in production (select)], Table11[[#This Row],[Species in production]])/(SUMIFS(Table7[Feed use (tonnes)],Table7[Species in production (select)], Table11[[#This Row],[Species in production]])*1000)), "")</f>
        <v/>
      </c>
      <c r="X16" s="26" t="str">
        <f>IFERROR((SUMIFS(Table38[EPA and DHA% * feed use],Table7[Species in production (select)], Table11[[#This Row],[Species in production]])/(SUMIFS(Table7[Feed use (tonnes)],Table7[Species in production (select)], Table11[[#This Row],[Species in production]]))), "")</f>
        <v/>
      </c>
    </row>
    <row r="17" spans="3:24" x14ac:dyDescent="0.4">
      <c r="C17" s="30"/>
      <c r="D17" s="231"/>
      <c r="E17" s="232"/>
      <c r="F17" s="232"/>
      <c r="G17" s="232"/>
      <c r="H17" s="232"/>
      <c r="I17" s="30"/>
      <c r="J17" s="232"/>
      <c r="K17" s="29"/>
      <c r="L17" s="233"/>
      <c r="N17" s="18" t="str">
        <f>IF('Dropdown tables - Production'!G15= 0, "", 'Dropdown tables - Production'!G15)</f>
        <v/>
      </c>
      <c r="O17" s="30"/>
      <c r="Q17" s="18" t="str">
        <f>IF('Dropdown tables - Production'!G15= 0, "", 'Dropdown tables - Production'!G15)</f>
        <v/>
      </c>
      <c r="R17" s="26" t="str">
        <f>IF(Table11[[#This Row],[Species in production]]= "", "", SUMIFS(Table126[ASC certified net production volume (tonnes)],Table126[Species in production (Latin name) (select)],Feed!Q17))</f>
        <v/>
      </c>
      <c r="S17" s="26" t="str">
        <f>IFERROR((SUMIFS(Table7[Feed use (tonnes)],Table7[Species in production (select)],Table11[[#This Row],[Species in production]])/Table11[[#This Row],[ASC certified net production volume (tonnes)]]), "")</f>
        <v/>
      </c>
      <c r="T17" s="26" t="str" cm="1">
        <f t="array" ref="T17" xml:space="preserve"> IFERROR((((SUMPRODUCT((Q17=Table10[Species in production])*(Table10[Animal protein content (%)]))*R17)/100)/(SUMIFS(Table38[Protein fed per feed type (tonnes)],Table7[Species in production (select)],Table11[[#This Row],[Species in production]]))*100), "")</f>
        <v/>
      </c>
      <c r="U17" s="26" t="str">
        <f xml:space="preserve"> IFERROR((SUMIFS(Table38[FM%/yield*feed use], Table7[Species in production (select)],Table11[[#This Row],[Species in production]])/SUMIFS(Table7[Feed use (tonnes)],Table7[Species in production (select)], Table11[[#This Row],[Species in production]])*Table11[[#This Row],[eFCR]]), "")</f>
        <v/>
      </c>
      <c r="V17" s="26" t="str">
        <f xml:space="preserve"> IFERROR((SUMIFS(Table38[FO%/yield*feed use], Table7[Species in production (select)],Table11[[#This Row],[Species in production]])/SUMIFS(Table7[Feed use (tonnes)], Table7[Species in production (select)], Table11[[#This Row],[Species in production]])*Table11[[#This Row],[eFCR]]), "")</f>
        <v/>
      </c>
      <c r="W17" s="26" t="str">
        <f xml:space="preserve"> IFERROR((SUMIFS(Table38[total EPA and DHA in feed, per type (g)],Table7[Species in production (select)], Table11[[#This Row],[Species in production]])/(SUMIFS(Table7[Feed use (tonnes)],Table7[Species in production (select)], Table11[[#This Row],[Species in production]])*1000)), "")</f>
        <v/>
      </c>
      <c r="X17" s="26" t="str">
        <f>IFERROR((SUMIFS(Table38[EPA and DHA% * feed use],Table7[Species in production (select)], Table11[[#This Row],[Species in production]])/(SUMIFS(Table7[Feed use (tonnes)],Table7[Species in production (select)], Table11[[#This Row],[Species in production]]))), "")</f>
        <v/>
      </c>
    </row>
    <row r="18" spans="3:24" x14ac:dyDescent="0.4">
      <c r="C18" s="30"/>
      <c r="D18" s="231"/>
      <c r="E18" s="232"/>
      <c r="F18" s="232"/>
      <c r="G18" s="232"/>
      <c r="H18" s="232"/>
      <c r="I18" s="30"/>
      <c r="J18" s="232"/>
      <c r="K18" s="29"/>
      <c r="L18" s="233"/>
      <c r="N18" s="18" t="str">
        <f>IF('Dropdown tables - Production'!G16= 0, "", 'Dropdown tables - Production'!G16)</f>
        <v/>
      </c>
      <c r="O18" s="30"/>
      <c r="Q18" s="18" t="str">
        <f>IF('Dropdown tables - Production'!G16= 0, "", 'Dropdown tables - Production'!G16)</f>
        <v/>
      </c>
      <c r="R18" s="26" t="str">
        <f>IF(Table11[[#This Row],[Species in production]]= "", "", SUMIFS(Table126[ASC certified net production volume (tonnes)],Table126[Species in production (Latin name) (select)],Feed!Q18))</f>
        <v/>
      </c>
      <c r="S18" s="26" t="str">
        <f>IFERROR((SUMIFS(Table7[Feed use (tonnes)],Table7[Species in production (select)],Table11[[#This Row],[Species in production]])/Table11[[#This Row],[ASC certified net production volume (tonnes)]]), "")</f>
        <v/>
      </c>
      <c r="T18" s="26" t="str" cm="1">
        <f t="array" ref="T18" xml:space="preserve"> IFERROR((((SUMPRODUCT((Q18=Table10[Species in production])*(Table10[Animal protein content (%)]))*R18)/100)/(SUMIFS(Table38[Protein fed per feed type (tonnes)],Table7[Species in production (select)],Table11[[#This Row],[Species in production]]))*100), "")</f>
        <v/>
      </c>
      <c r="U18" s="26" t="str">
        <f xml:space="preserve"> IFERROR((SUMIFS(Table38[FM%/yield*feed use], Table7[Species in production (select)],Table11[[#This Row],[Species in production]])/SUMIFS(Table7[Feed use (tonnes)],Table7[Species in production (select)], Table11[[#This Row],[Species in production]])*Table11[[#This Row],[eFCR]]), "")</f>
        <v/>
      </c>
      <c r="V18" s="26" t="str">
        <f xml:space="preserve"> IFERROR((SUMIFS(Table38[FO%/yield*feed use], Table7[Species in production (select)],Table11[[#This Row],[Species in production]])/SUMIFS(Table7[Feed use (tonnes)], Table7[Species in production (select)], Table11[[#This Row],[Species in production]])*Table11[[#This Row],[eFCR]]), "")</f>
        <v/>
      </c>
      <c r="W18" s="26" t="str">
        <f xml:space="preserve"> IFERROR((SUMIFS(Table38[total EPA and DHA in feed, per type (g)],Table7[Species in production (select)], Table11[[#This Row],[Species in production]])/(SUMIFS(Table7[Feed use (tonnes)],Table7[Species in production (select)], Table11[[#This Row],[Species in production]])*1000)), "")</f>
        <v/>
      </c>
      <c r="X18" s="26" t="str">
        <f>IFERROR((SUMIFS(Table38[EPA and DHA% * feed use],Table7[Species in production (select)], Table11[[#This Row],[Species in production]])/(SUMIFS(Table7[Feed use (tonnes)],Table7[Species in production (select)], Table11[[#This Row],[Species in production]]))), "")</f>
        <v/>
      </c>
    </row>
    <row r="19" spans="3:24" x14ac:dyDescent="0.4">
      <c r="C19" s="30"/>
      <c r="D19" s="231"/>
      <c r="E19" s="232"/>
      <c r="F19" s="232"/>
      <c r="G19" s="232"/>
      <c r="H19" s="232"/>
      <c r="I19" s="30"/>
      <c r="J19" s="232"/>
      <c r="K19" s="29"/>
      <c r="L19" s="233"/>
      <c r="N19" s="18" t="str">
        <f>IF('Dropdown tables - Production'!G17= 0, "", 'Dropdown tables - Production'!G17)</f>
        <v/>
      </c>
      <c r="O19" s="30"/>
      <c r="Q19" s="18" t="str">
        <f>IF('Dropdown tables - Production'!G17= 0, "", 'Dropdown tables - Production'!G17)</f>
        <v/>
      </c>
      <c r="R19" s="26" t="str">
        <f>IF(Table11[[#This Row],[Species in production]]= "", "", SUMIFS(Table126[ASC certified net production volume (tonnes)],Table126[Species in production (Latin name) (select)],Feed!Q19))</f>
        <v/>
      </c>
      <c r="S19" s="26" t="str">
        <f>IFERROR((SUMIFS(Table7[Feed use (tonnes)],Table7[Species in production (select)],Table11[[#This Row],[Species in production]])/Table11[[#This Row],[ASC certified net production volume (tonnes)]]), "")</f>
        <v/>
      </c>
      <c r="T19" s="26" t="str" cm="1">
        <f t="array" ref="T19" xml:space="preserve"> IFERROR((((SUMPRODUCT((Q19=Table10[Species in production])*(Table10[Animal protein content (%)]))*R19)/100)/(SUMIFS(Table38[Protein fed per feed type (tonnes)],Table7[Species in production (select)],Table11[[#This Row],[Species in production]]))*100), "")</f>
        <v/>
      </c>
      <c r="U19" s="26" t="str">
        <f xml:space="preserve"> IFERROR((SUMIFS(Table38[FM%/yield*feed use], Table7[Species in production (select)],Table11[[#This Row],[Species in production]])/SUMIFS(Table7[Feed use (tonnes)],Table7[Species in production (select)], Table11[[#This Row],[Species in production]])*Table11[[#This Row],[eFCR]]), "")</f>
        <v/>
      </c>
      <c r="V19" s="26" t="str">
        <f xml:space="preserve"> IFERROR((SUMIFS(Table38[FO%/yield*feed use], Table7[Species in production (select)],Table11[[#This Row],[Species in production]])/SUMIFS(Table7[Feed use (tonnes)], Table7[Species in production (select)], Table11[[#This Row],[Species in production]])*Table11[[#This Row],[eFCR]]), "")</f>
        <v/>
      </c>
      <c r="W19" s="26" t="str">
        <f xml:space="preserve"> IFERROR((SUMIFS(Table38[total EPA and DHA in feed, per type (g)],Table7[Species in production (select)], Table11[[#This Row],[Species in production]])/(SUMIFS(Table7[Feed use (tonnes)],Table7[Species in production (select)], Table11[[#This Row],[Species in production]])*1000)), "")</f>
        <v/>
      </c>
      <c r="X19" s="26" t="str">
        <f>IFERROR((SUMIFS(Table38[EPA and DHA% * feed use],Table7[Species in production (select)], Table11[[#This Row],[Species in production]])/(SUMIFS(Table7[Feed use (tonnes)],Table7[Species in production (select)], Table11[[#This Row],[Species in production]]))), "")</f>
        <v/>
      </c>
    </row>
    <row r="20" spans="3:24" x14ac:dyDescent="0.4">
      <c r="C20" s="30"/>
      <c r="D20" s="231"/>
      <c r="E20" s="232"/>
      <c r="F20" s="232"/>
      <c r="G20" s="232"/>
      <c r="H20" s="232"/>
      <c r="I20" s="30"/>
      <c r="J20" s="232"/>
      <c r="K20" s="29"/>
      <c r="L20" s="233"/>
      <c r="N20" s="18" t="str">
        <f>IF('Dropdown tables - Production'!G18= 0, "", 'Dropdown tables - Production'!G18)</f>
        <v/>
      </c>
      <c r="O20" s="30"/>
      <c r="Q20" s="18" t="str">
        <f>IF('Dropdown tables - Production'!G18= 0, "", 'Dropdown tables - Production'!G18)</f>
        <v/>
      </c>
      <c r="R20" s="26" t="str">
        <f>IF(Table11[[#This Row],[Species in production]]= "", "", SUMIFS(Table126[ASC certified net production volume (tonnes)],Table126[Species in production (Latin name) (select)],Feed!Q20))</f>
        <v/>
      </c>
      <c r="S20" s="26" t="str">
        <f>IFERROR((SUMIFS(Table7[Feed use (tonnes)],Table7[Species in production (select)],Table11[[#This Row],[Species in production]])/Table11[[#This Row],[ASC certified net production volume (tonnes)]]), "")</f>
        <v/>
      </c>
      <c r="T20" s="26" t="str" cm="1">
        <f t="array" ref="T20" xml:space="preserve"> IFERROR((((SUMPRODUCT((Q20=Table10[Species in production])*(Table10[Animal protein content (%)]))*R20)/100)/(SUMIFS(Table38[Protein fed per feed type (tonnes)],Table7[Species in production (select)],Table11[[#This Row],[Species in production]]))*100), "")</f>
        <v/>
      </c>
      <c r="U20" s="26" t="str">
        <f xml:space="preserve"> IFERROR((SUMIFS(Table38[FM%/yield*feed use], Table7[Species in production (select)],Table11[[#This Row],[Species in production]])/SUMIFS(Table7[Feed use (tonnes)],Table7[Species in production (select)], Table11[[#This Row],[Species in production]])*Table11[[#This Row],[eFCR]]), "")</f>
        <v/>
      </c>
      <c r="V20" s="26" t="str">
        <f xml:space="preserve"> IFERROR((SUMIFS(Table38[FO%/yield*feed use], Table7[Species in production (select)],Table11[[#This Row],[Species in production]])/SUMIFS(Table7[Feed use (tonnes)], Table7[Species in production (select)], Table11[[#This Row],[Species in production]])*Table11[[#This Row],[eFCR]]), "")</f>
        <v/>
      </c>
      <c r="W20" s="26" t="str">
        <f xml:space="preserve"> IFERROR((SUMIFS(Table38[total EPA and DHA in feed, per type (g)],Table7[Species in production (select)], Table11[[#This Row],[Species in production]])/(SUMIFS(Table7[Feed use (tonnes)],Table7[Species in production (select)], Table11[[#This Row],[Species in production]])*1000)), "")</f>
        <v/>
      </c>
      <c r="X20" s="26" t="str">
        <f>IFERROR((SUMIFS(Table38[EPA and DHA% * feed use],Table7[Species in production (select)], Table11[[#This Row],[Species in production]])/(SUMIFS(Table7[Feed use (tonnes)],Table7[Species in production (select)], Table11[[#This Row],[Species in production]]))), "")</f>
        <v/>
      </c>
    </row>
    <row r="21" spans="3:24" x14ac:dyDescent="0.4">
      <c r="C21" s="30"/>
      <c r="D21" s="231"/>
      <c r="E21" s="232"/>
      <c r="F21" s="232"/>
      <c r="G21" s="232"/>
      <c r="H21" s="232"/>
      <c r="I21" s="30"/>
      <c r="J21" s="232"/>
      <c r="K21" s="29"/>
      <c r="L21" s="233"/>
      <c r="N21" s="18" t="str">
        <f>IF('Dropdown tables - Production'!G19= 0, "", 'Dropdown tables - Production'!G19)</f>
        <v/>
      </c>
      <c r="O21" s="30"/>
      <c r="Q21" s="18" t="str">
        <f>IF('Dropdown tables - Production'!G19= 0, "", 'Dropdown tables - Production'!G19)</f>
        <v/>
      </c>
      <c r="R21" s="26" t="str">
        <f>IF(Table11[[#This Row],[Species in production]]= "", "", SUMIFS(Table126[ASC certified net production volume (tonnes)],Table126[Species in production (Latin name) (select)],Feed!Q21))</f>
        <v/>
      </c>
      <c r="S21" s="26" t="str">
        <f>IFERROR((SUMIFS(Table7[Feed use (tonnes)],Table7[Species in production (select)],Table11[[#This Row],[Species in production]])/Table11[[#This Row],[ASC certified net production volume (tonnes)]]), "")</f>
        <v/>
      </c>
      <c r="T21" s="26" t="str" cm="1">
        <f t="array" ref="T21" xml:space="preserve"> IFERROR((((SUMPRODUCT((Q21=Table10[Species in production])*(Table10[Animal protein content (%)]))*R21)/100)/(SUMIFS(Table38[Protein fed per feed type (tonnes)],Table7[Species in production (select)],Table11[[#This Row],[Species in production]]))*100), "")</f>
        <v/>
      </c>
      <c r="U21" s="26" t="str">
        <f xml:space="preserve"> IFERROR((SUMIFS(Table38[FM%/yield*feed use], Table7[Species in production (select)],Table11[[#This Row],[Species in production]])/SUMIFS(Table7[Feed use (tonnes)],Table7[Species in production (select)], Table11[[#This Row],[Species in production]])*Table11[[#This Row],[eFCR]]), "")</f>
        <v/>
      </c>
      <c r="V21" s="26" t="str">
        <f xml:space="preserve"> IFERROR((SUMIFS(Table38[FO%/yield*feed use], Table7[Species in production (select)],Table11[[#This Row],[Species in production]])/SUMIFS(Table7[Feed use (tonnes)], Table7[Species in production (select)], Table11[[#This Row],[Species in production]])*Table11[[#This Row],[eFCR]]), "")</f>
        <v/>
      </c>
      <c r="W21" s="26" t="str">
        <f xml:space="preserve"> IFERROR((SUMIFS(Table38[total EPA and DHA in feed, per type (g)],Table7[Species in production (select)], Table11[[#This Row],[Species in production]])/(SUMIFS(Table7[Feed use (tonnes)],Table7[Species in production (select)], Table11[[#This Row],[Species in production]])*1000)), "")</f>
        <v/>
      </c>
      <c r="X21" s="26" t="str">
        <f>IFERROR((SUMIFS(Table38[EPA and DHA% * feed use],Table7[Species in production (select)], Table11[[#This Row],[Species in production]])/(SUMIFS(Table7[Feed use (tonnes)],Table7[Species in production (select)], Table11[[#This Row],[Species in production]]))), "")</f>
        <v/>
      </c>
    </row>
    <row r="22" spans="3:24" x14ac:dyDescent="0.4">
      <c r="C22" s="30"/>
      <c r="D22" s="231"/>
      <c r="E22" s="232"/>
      <c r="F22" s="232"/>
      <c r="G22" s="232"/>
      <c r="H22" s="232"/>
      <c r="I22" s="30"/>
      <c r="J22" s="232"/>
      <c r="K22" s="29"/>
      <c r="L22" s="233"/>
      <c r="N22" s="18" t="str">
        <f>IF('Dropdown tables - Production'!G20= 0, "", 'Dropdown tables - Production'!G20)</f>
        <v/>
      </c>
      <c r="O22" s="30"/>
      <c r="Q22" s="18" t="str">
        <f>IF('Dropdown tables - Production'!G20= 0, "", 'Dropdown tables - Production'!G20)</f>
        <v/>
      </c>
      <c r="R22" s="26" t="str">
        <f>IF(Table11[[#This Row],[Species in production]]= "", "", SUMIFS(Table126[ASC certified net production volume (tonnes)],Table126[Species in production (Latin name) (select)],Feed!Q22))</f>
        <v/>
      </c>
      <c r="S22" s="26" t="str">
        <f>IFERROR((SUMIFS(Table7[Feed use (tonnes)],Table7[Species in production (select)],Table11[[#This Row],[Species in production]])/Table11[[#This Row],[ASC certified net production volume (tonnes)]]), "")</f>
        <v/>
      </c>
      <c r="T22" s="26" t="str" cm="1">
        <f t="array" ref="T22" xml:space="preserve"> IFERROR((((SUMPRODUCT((Q22=Table10[Species in production])*(Table10[Animal protein content (%)]))*R22)/100)/(SUMIFS(Table38[Protein fed per feed type (tonnes)],Table7[Species in production (select)],Table11[[#This Row],[Species in production]]))*100), "")</f>
        <v/>
      </c>
      <c r="U22" s="26" t="str">
        <f xml:space="preserve"> IFERROR((SUMIFS(Table38[FM%/yield*feed use], Table7[Species in production (select)],Table11[[#This Row],[Species in production]])/SUMIFS(Table7[Feed use (tonnes)],Table7[Species in production (select)], Table11[[#This Row],[Species in production]])*Table11[[#This Row],[eFCR]]), "")</f>
        <v/>
      </c>
      <c r="V22" s="26" t="str">
        <f xml:space="preserve"> IFERROR((SUMIFS(Table38[FO%/yield*feed use], Table7[Species in production (select)],Table11[[#This Row],[Species in production]])/SUMIFS(Table7[Feed use (tonnes)], Table7[Species in production (select)], Table11[[#This Row],[Species in production]])*Table11[[#This Row],[eFCR]]), "")</f>
        <v/>
      </c>
      <c r="W22" s="26" t="str">
        <f xml:space="preserve"> IFERROR((SUMIFS(Table38[total EPA and DHA in feed, per type (g)],Table7[Species in production (select)], Table11[[#This Row],[Species in production]])/(SUMIFS(Table7[Feed use (tonnes)],Table7[Species in production (select)], Table11[[#This Row],[Species in production]])*1000)), "")</f>
        <v/>
      </c>
      <c r="X22" s="26" t="str">
        <f>IFERROR((SUMIFS(Table38[EPA and DHA% * feed use],Table7[Species in production (select)], Table11[[#This Row],[Species in production]])/(SUMIFS(Table7[Feed use (tonnes)],Table7[Species in production (select)], Table11[[#This Row],[Species in production]]))), "")</f>
        <v/>
      </c>
    </row>
    <row r="23" spans="3:24" x14ac:dyDescent="0.4">
      <c r="C23" s="30"/>
      <c r="D23" s="231"/>
      <c r="E23" s="232"/>
      <c r="F23" s="232"/>
      <c r="G23" s="232"/>
      <c r="H23" s="232"/>
      <c r="I23" s="30"/>
      <c r="J23" s="232"/>
      <c r="K23" s="29"/>
      <c r="L23" s="233"/>
      <c r="N23" s="18" t="str">
        <f>IF('Dropdown tables - Production'!G21= 0, "", 'Dropdown tables - Production'!G21)</f>
        <v/>
      </c>
      <c r="O23" s="30"/>
      <c r="Q23" s="18" t="str">
        <f>IF('Dropdown tables - Production'!G21= 0, "", 'Dropdown tables - Production'!G21)</f>
        <v/>
      </c>
      <c r="R23" s="26" t="str">
        <f>IF(Table11[[#This Row],[Species in production]]= "", "", SUMIFS(Table126[ASC certified net production volume (tonnes)],Table126[Species in production (Latin name) (select)],Feed!Q23))</f>
        <v/>
      </c>
      <c r="S23" s="26" t="str">
        <f>IFERROR((SUMIFS(Table7[Feed use (tonnes)],Table7[Species in production (select)],Table11[[#This Row],[Species in production]])/Table11[[#This Row],[ASC certified net production volume (tonnes)]]), "")</f>
        <v/>
      </c>
      <c r="T23" s="26" t="str" cm="1">
        <f t="array" ref="T23" xml:space="preserve"> IFERROR((((SUMPRODUCT((Q23=Table10[Species in production])*(Table10[Animal protein content (%)]))*R23)/100)/(SUMIFS(Table38[Protein fed per feed type (tonnes)],Table7[Species in production (select)],Table11[[#This Row],[Species in production]]))*100), "")</f>
        <v/>
      </c>
      <c r="U23" s="26" t="str">
        <f xml:space="preserve"> IFERROR((SUMIFS(Table38[FM%/yield*feed use], Table7[Species in production (select)],Table11[[#This Row],[Species in production]])/SUMIFS(Table7[Feed use (tonnes)],Table7[Species in production (select)], Table11[[#This Row],[Species in production]])*Table11[[#This Row],[eFCR]]), "")</f>
        <v/>
      </c>
      <c r="V23" s="26" t="str">
        <f xml:space="preserve"> IFERROR((SUMIFS(Table38[FO%/yield*feed use], Table7[Species in production (select)],Table11[[#This Row],[Species in production]])/SUMIFS(Table7[Feed use (tonnes)], Table7[Species in production (select)], Table11[[#This Row],[Species in production]])*Table11[[#This Row],[eFCR]]), "")</f>
        <v/>
      </c>
      <c r="W23" s="26" t="str">
        <f xml:space="preserve"> IFERROR((SUMIFS(Table38[total EPA and DHA in feed, per type (g)],Table7[Species in production (select)], Table11[[#This Row],[Species in production]])/(SUMIFS(Table7[Feed use (tonnes)],Table7[Species in production (select)], Table11[[#This Row],[Species in production]])*1000)), "")</f>
        <v/>
      </c>
      <c r="X23" s="26" t="str">
        <f>IFERROR((SUMIFS(Table38[EPA and DHA% * feed use],Table7[Species in production (select)], Table11[[#This Row],[Species in production]])/(SUMIFS(Table7[Feed use (tonnes)],Table7[Species in production (select)], Table11[[#This Row],[Species in production]]))), "")</f>
        <v/>
      </c>
    </row>
    <row r="24" spans="3:24" x14ac:dyDescent="0.4">
      <c r="C24" s="30"/>
      <c r="D24" s="231"/>
      <c r="E24" s="232"/>
      <c r="F24" s="232"/>
      <c r="G24" s="232"/>
      <c r="H24" s="232"/>
      <c r="I24" s="30"/>
      <c r="J24" s="232"/>
      <c r="K24" s="29"/>
      <c r="L24" s="233"/>
      <c r="N24" s="18" t="str">
        <f>IF('Dropdown tables - Production'!G22= 0, "", 'Dropdown tables - Production'!G22)</f>
        <v/>
      </c>
      <c r="O24" s="30"/>
      <c r="Q24" s="18" t="str">
        <f>IF('Dropdown tables - Production'!G22= 0, "", 'Dropdown tables - Production'!G22)</f>
        <v/>
      </c>
      <c r="R24" s="26" t="str">
        <f>IF(Table11[[#This Row],[Species in production]]= "", "", SUMIFS(Table126[ASC certified net production volume (tonnes)],Table126[Species in production (Latin name) (select)],Feed!Q24))</f>
        <v/>
      </c>
      <c r="S24" s="26" t="str">
        <f>IFERROR((SUMIFS(Table7[Feed use (tonnes)],Table7[Species in production (select)],Table11[[#This Row],[Species in production]])/Table11[[#This Row],[ASC certified net production volume (tonnes)]]), "")</f>
        <v/>
      </c>
      <c r="T24" s="26" t="str" cm="1">
        <f t="array" ref="T24" xml:space="preserve"> IFERROR((((SUMPRODUCT((Q24=Table10[Species in production])*(Table10[Animal protein content (%)]))*R24)/100)/(SUMIFS(Table38[Protein fed per feed type (tonnes)],Table7[Species in production (select)],Table11[[#This Row],[Species in production]]))*100), "")</f>
        <v/>
      </c>
      <c r="U24" s="26" t="str">
        <f xml:space="preserve"> IFERROR((SUMIFS(Table38[FM%/yield*feed use], Table7[Species in production (select)],Table11[[#This Row],[Species in production]])/SUMIFS(Table7[Feed use (tonnes)],Table7[Species in production (select)], Table11[[#This Row],[Species in production]])*Table11[[#This Row],[eFCR]]), "")</f>
        <v/>
      </c>
      <c r="V24" s="26" t="str">
        <f xml:space="preserve"> IFERROR((SUMIFS(Table38[FO%/yield*feed use], Table7[Species in production (select)],Table11[[#This Row],[Species in production]])/SUMIFS(Table7[Feed use (tonnes)], Table7[Species in production (select)], Table11[[#This Row],[Species in production]])*Table11[[#This Row],[eFCR]]), "")</f>
        <v/>
      </c>
      <c r="W24" s="26" t="str">
        <f xml:space="preserve"> IFERROR((SUMIFS(Table38[total EPA and DHA in feed, per type (g)],Table7[Species in production (select)], Table11[[#This Row],[Species in production]])/(SUMIFS(Table7[Feed use (tonnes)],Table7[Species in production (select)], Table11[[#This Row],[Species in production]])*1000)), "")</f>
        <v/>
      </c>
      <c r="X24" s="26" t="str">
        <f>IFERROR((SUMIFS(Table38[EPA and DHA% * feed use],Table7[Species in production (select)], Table11[[#This Row],[Species in production]])/(SUMIFS(Table7[Feed use (tonnes)],Table7[Species in production (select)], Table11[[#This Row],[Species in production]]))), "")</f>
        <v/>
      </c>
    </row>
    <row r="25" spans="3:24" x14ac:dyDescent="0.4">
      <c r="C25" s="30"/>
      <c r="D25" s="231"/>
      <c r="E25" s="232"/>
      <c r="F25" s="232"/>
      <c r="G25" s="232"/>
      <c r="H25" s="232"/>
      <c r="I25" s="30"/>
      <c r="J25" s="232"/>
      <c r="K25" s="29"/>
      <c r="L25" s="233"/>
      <c r="N25" s="18" t="str">
        <f>IF('Dropdown tables - Production'!G23= 0, "", 'Dropdown tables - Production'!G23)</f>
        <v/>
      </c>
      <c r="O25" s="30"/>
      <c r="Q25" s="18" t="str">
        <f>IF('Dropdown tables - Production'!G23= 0, "", 'Dropdown tables - Production'!G23)</f>
        <v/>
      </c>
      <c r="R25" s="26" t="str">
        <f>IF(Table11[[#This Row],[Species in production]]= "", "", SUMIFS(Table126[ASC certified net production volume (tonnes)],Table126[Species in production (Latin name) (select)],Feed!Q25))</f>
        <v/>
      </c>
      <c r="S25" s="26" t="str">
        <f>IFERROR((SUMIFS(Table7[Feed use (tonnes)],Table7[Species in production (select)],Table11[[#This Row],[Species in production]])/Table11[[#This Row],[ASC certified net production volume (tonnes)]]), "")</f>
        <v/>
      </c>
      <c r="T25" s="26" t="str" cm="1">
        <f t="array" ref="T25" xml:space="preserve"> IFERROR((((SUMPRODUCT((Q25=Table10[Species in production])*(Table10[Animal protein content (%)]))*R25)/100)/(SUMIFS(Table38[Protein fed per feed type (tonnes)],Table7[Species in production (select)],Table11[[#This Row],[Species in production]]))*100), "")</f>
        <v/>
      </c>
      <c r="U25" s="26" t="str">
        <f xml:space="preserve"> IFERROR((SUMIFS(Table38[FM%/yield*feed use], Table7[Species in production (select)],Table11[[#This Row],[Species in production]])/SUMIFS(Table7[Feed use (tonnes)],Table7[Species in production (select)], Table11[[#This Row],[Species in production]])*Table11[[#This Row],[eFCR]]), "")</f>
        <v/>
      </c>
      <c r="V25" s="26" t="str">
        <f xml:space="preserve"> IFERROR((SUMIFS(Table38[FO%/yield*feed use], Table7[Species in production (select)],Table11[[#This Row],[Species in production]])/SUMIFS(Table7[Feed use (tonnes)], Table7[Species in production (select)], Table11[[#This Row],[Species in production]])*Table11[[#This Row],[eFCR]]), "")</f>
        <v/>
      </c>
      <c r="W25" s="26" t="str">
        <f xml:space="preserve"> IFERROR((SUMIFS(Table38[total EPA and DHA in feed, per type (g)],Table7[Species in production (select)], Table11[[#This Row],[Species in production]])/(SUMIFS(Table7[Feed use (tonnes)],Table7[Species in production (select)], Table11[[#This Row],[Species in production]])*1000)), "")</f>
        <v/>
      </c>
      <c r="X25" s="26" t="str">
        <f>IFERROR((SUMIFS(Table38[EPA and DHA% * feed use],Table7[Species in production (select)], Table11[[#This Row],[Species in production]])/(SUMIFS(Table7[Feed use (tonnes)],Table7[Species in production (select)], Table11[[#This Row],[Species in production]]))), "")</f>
        <v/>
      </c>
    </row>
    <row r="26" spans="3:24" x14ac:dyDescent="0.4">
      <c r="C26" s="30"/>
      <c r="D26" s="231"/>
      <c r="E26" s="232"/>
      <c r="F26" s="232"/>
      <c r="G26" s="232"/>
      <c r="H26" s="232"/>
      <c r="I26" s="30"/>
      <c r="J26" s="232"/>
      <c r="K26" s="29"/>
      <c r="L26" s="233"/>
      <c r="N26" s="18" t="str">
        <f>IF('Dropdown tables - Production'!G24= 0, "", 'Dropdown tables - Production'!G24)</f>
        <v/>
      </c>
      <c r="O26" s="30"/>
      <c r="Q26" s="18" t="str">
        <f>IF('Dropdown tables - Production'!G24= 0, "", 'Dropdown tables - Production'!G24)</f>
        <v/>
      </c>
      <c r="R26" s="26" t="str">
        <f>IF(Table11[[#This Row],[Species in production]]= "", "", SUMIFS(Table126[ASC certified net production volume (tonnes)],Table126[Species in production (Latin name) (select)],Feed!Q26))</f>
        <v/>
      </c>
      <c r="S26" s="26" t="str">
        <f>IFERROR((SUMIFS(Table7[Feed use (tonnes)],Table7[Species in production (select)],Table11[[#This Row],[Species in production]])/Table11[[#This Row],[ASC certified net production volume (tonnes)]]), "")</f>
        <v/>
      </c>
      <c r="T26" s="26" t="str" cm="1">
        <f t="array" ref="T26" xml:space="preserve"> IFERROR((((SUMPRODUCT((Q26=Table10[Species in production])*(Table10[Animal protein content (%)]))*R26)/100)/(SUMIFS(Table38[Protein fed per feed type (tonnes)],Table7[Species in production (select)],Table11[[#This Row],[Species in production]]))*100), "")</f>
        <v/>
      </c>
      <c r="U26" s="26" t="str">
        <f xml:space="preserve"> IFERROR((SUMIFS(Table38[FM%/yield*feed use], Table7[Species in production (select)],Table11[[#This Row],[Species in production]])/SUMIFS(Table7[Feed use (tonnes)],Table7[Species in production (select)], Table11[[#This Row],[Species in production]])*Table11[[#This Row],[eFCR]]), "")</f>
        <v/>
      </c>
      <c r="V26" s="26" t="str">
        <f xml:space="preserve"> IFERROR((SUMIFS(Table38[FO%/yield*feed use], Table7[Species in production (select)],Table11[[#This Row],[Species in production]])/SUMIFS(Table7[Feed use (tonnes)], Table7[Species in production (select)], Table11[[#This Row],[Species in production]])*Table11[[#This Row],[eFCR]]), "")</f>
        <v/>
      </c>
      <c r="W26" s="26" t="str">
        <f xml:space="preserve"> IFERROR((SUMIFS(Table38[total EPA and DHA in feed, per type (g)],Table7[Species in production (select)], Table11[[#This Row],[Species in production]])/(SUMIFS(Table7[Feed use (tonnes)],Table7[Species in production (select)], Table11[[#This Row],[Species in production]])*1000)), "")</f>
        <v/>
      </c>
      <c r="X26" s="26" t="str">
        <f>IFERROR((SUMIFS(Table38[EPA and DHA% * feed use],Table7[Species in production (select)], Table11[[#This Row],[Species in production]])/(SUMIFS(Table7[Feed use (tonnes)],Table7[Species in production (select)], Table11[[#This Row],[Species in production]]))), "")</f>
        <v/>
      </c>
    </row>
    <row r="27" spans="3:24" x14ac:dyDescent="0.4">
      <c r="C27" s="30"/>
      <c r="D27" s="231"/>
      <c r="E27" s="232"/>
      <c r="F27" s="232"/>
      <c r="G27" s="232"/>
      <c r="H27" s="232"/>
      <c r="I27" s="30"/>
      <c r="J27" s="232"/>
      <c r="K27" s="29"/>
      <c r="L27" s="233"/>
      <c r="N27" s="18" t="str">
        <f>IF('Dropdown tables - Production'!G25= 0, "", 'Dropdown tables - Production'!G25)</f>
        <v/>
      </c>
      <c r="O27" s="30"/>
      <c r="Q27" s="18" t="str">
        <f>IF('Dropdown tables - Production'!G25= 0, "", 'Dropdown tables - Production'!G25)</f>
        <v/>
      </c>
      <c r="R27" s="26" t="str">
        <f>IF(Table11[[#This Row],[Species in production]]= "", "", SUMIFS(Table126[ASC certified net production volume (tonnes)],Table126[Species in production (Latin name) (select)],Feed!Q27))</f>
        <v/>
      </c>
      <c r="S27" s="26" t="str">
        <f>IFERROR((SUMIFS(Table7[Feed use (tonnes)],Table7[Species in production (select)],Table11[[#This Row],[Species in production]])/Table11[[#This Row],[ASC certified net production volume (tonnes)]]), "")</f>
        <v/>
      </c>
      <c r="T27" s="26" t="str" cm="1">
        <f t="array" ref="T27" xml:space="preserve"> IFERROR((((SUMPRODUCT((Q27=Table10[Species in production])*(Table10[Animal protein content (%)]))*R27)/100)/(SUMIFS(Table38[Protein fed per feed type (tonnes)],Table7[Species in production (select)],Table11[[#This Row],[Species in production]]))*100), "")</f>
        <v/>
      </c>
      <c r="U27" s="26" t="str">
        <f xml:space="preserve"> IFERROR((SUMIFS(Table38[FM%/yield*feed use], Table7[Species in production (select)],Table11[[#This Row],[Species in production]])/SUMIFS(Table7[Feed use (tonnes)],Table7[Species in production (select)], Table11[[#This Row],[Species in production]])*Table11[[#This Row],[eFCR]]), "")</f>
        <v/>
      </c>
      <c r="V27" s="26" t="str">
        <f xml:space="preserve"> IFERROR((SUMIFS(Table38[FO%/yield*feed use], Table7[Species in production (select)],Table11[[#This Row],[Species in production]])/SUMIFS(Table7[Feed use (tonnes)], Table7[Species in production (select)], Table11[[#This Row],[Species in production]])*Table11[[#This Row],[eFCR]]), "")</f>
        <v/>
      </c>
      <c r="W27" s="26" t="str">
        <f xml:space="preserve"> IFERROR((SUMIFS(Table38[total EPA and DHA in feed, per type (g)],Table7[Species in production (select)], Table11[[#This Row],[Species in production]])/(SUMIFS(Table7[Feed use (tonnes)],Table7[Species in production (select)], Table11[[#This Row],[Species in production]])*1000)), "")</f>
        <v/>
      </c>
      <c r="X27" s="26" t="str">
        <f>IFERROR((SUMIFS(Table38[EPA and DHA% * feed use],Table7[Species in production (select)], Table11[[#This Row],[Species in production]])/(SUMIFS(Table7[Feed use (tonnes)],Table7[Species in production (select)], Table11[[#This Row],[Species in production]]))), "")</f>
        <v/>
      </c>
    </row>
    <row r="28" spans="3:24" x14ac:dyDescent="0.4">
      <c r="C28" s="30"/>
      <c r="D28" s="231"/>
      <c r="E28" s="232"/>
      <c r="F28" s="232"/>
      <c r="G28" s="232"/>
      <c r="H28" s="232"/>
      <c r="I28" s="30"/>
      <c r="J28" s="232"/>
      <c r="K28" s="29"/>
      <c r="L28" s="233"/>
      <c r="N28" s="18" t="str">
        <f>IF('Dropdown tables - Production'!G26= 0, "", 'Dropdown tables - Production'!G26)</f>
        <v/>
      </c>
      <c r="O28" s="30"/>
      <c r="Q28" s="18" t="str">
        <f>IF('Dropdown tables - Production'!G26= 0, "", 'Dropdown tables - Production'!G26)</f>
        <v/>
      </c>
      <c r="R28" s="26" t="str">
        <f>IF(Table11[[#This Row],[Species in production]]= "", "", SUMIFS(Table126[ASC certified net production volume (tonnes)],Table126[Species in production (Latin name) (select)],Feed!Q28))</f>
        <v/>
      </c>
      <c r="S28" s="26" t="str">
        <f>IFERROR((SUMIFS(Table7[Feed use (tonnes)],Table7[Species in production (select)],Table11[[#This Row],[Species in production]])/Table11[[#This Row],[ASC certified net production volume (tonnes)]]), "")</f>
        <v/>
      </c>
      <c r="T28" s="26" t="str" cm="1">
        <f t="array" ref="T28" xml:space="preserve"> IFERROR((((SUMPRODUCT((Q28=Table10[Species in production])*(Table10[Animal protein content (%)]))*R28)/100)/(SUMIFS(Table38[Protein fed per feed type (tonnes)],Table7[Species in production (select)],Table11[[#This Row],[Species in production]]))*100), "")</f>
        <v/>
      </c>
      <c r="U28" s="26" t="str">
        <f xml:space="preserve"> IFERROR((SUMIFS(Table38[FM%/yield*feed use], Table7[Species in production (select)],Table11[[#This Row],[Species in production]])/SUMIFS(Table7[Feed use (tonnes)],Table7[Species in production (select)], Table11[[#This Row],[Species in production]])*Table11[[#This Row],[eFCR]]), "")</f>
        <v/>
      </c>
      <c r="V28" s="26" t="str">
        <f xml:space="preserve"> IFERROR((SUMIFS(Table38[FO%/yield*feed use], Table7[Species in production (select)],Table11[[#This Row],[Species in production]])/SUMIFS(Table7[Feed use (tonnes)], Table7[Species in production (select)], Table11[[#This Row],[Species in production]])*Table11[[#This Row],[eFCR]]), "")</f>
        <v/>
      </c>
      <c r="W28" s="26" t="str">
        <f xml:space="preserve"> IFERROR((SUMIFS(Table38[total EPA and DHA in feed, per type (g)],Table7[Species in production (select)], Table11[[#This Row],[Species in production]])/(SUMIFS(Table7[Feed use (tonnes)],Table7[Species in production (select)], Table11[[#This Row],[Species in production]])*1000)), "")</f>
        <v/>
      </c>
      <c r="X28" s="26" t="str">
        <f>IFERROR((SUMIFS(Table38[EPA and DHA% * feed use],Table7[Species in production (select)], Table11[[#This Row],[Species in production]])/(SUMIFS(Table7[Feed use (tonnes)],Table7[Species in production (select)], Table11[[#This Row],[Species in production]]))), "")</f>
        <v/>
      </c>
    </row>
    <row r="29" spans="3:24" x14ac:dyDescent="0.4">
      <c r="C29" s="30"/>
      <c r="D29" s="231"/>
      <c r="E29" s="232"/>
      <c r="F29" s="232"/>
      <c r="G29" s="232"/>
      <c r="H29" s="232"/>
      <c r="I29" s="30"/>
      <c r="J29" s="232"/>
      <c r="K29" s="29"/>
      <c r="L29" s="233"/>
      <c r="N29" s="18" t="str">
        <f>IF('Dropdown tables - Production'!G27= 0, "", 'Dropdown tables - Production'!G27)</f>
        <v/>
      </c>
      <c r="O29" s="30"/>
      <c r="Q29" s="18" t="str">
        <f>IF('Dropdown tables - Production'!G27= 0, "", 'Dropdown tables - Production'!G27)</f>
        <v/>
      </c>
      <c r="R29" s="26" t="str">
        <f>IF(Table11[[#This Row],[Species in production]]= "", "", SUMIFS(Table126[ASC certified net production volume (tonnes)],Table126[Species in production (Latin name) (select)],Feed!Q29))</f>
        <v/>
      </c>
      <c r="S29" s="26" t="str">
        <f>IFERROR((SUMIFS(Table7[Feed use (tonnes)],Table7[Species in production (select)],Table11[[#This Row],[Species in production]])/Table11[[#This Row],[ASC certified net production volume (tonnes)]]), "")</f>
        <v/>
      </c>
      <c r="T29" s="26" t="str" cm="1">
        <f t="array" ref="T29" xml:space="preserve"> IFERROR((((SUMPRODUCT((Q29=Table10[Species in production])*(Table10[Animal protein content (%)]))*R29)/100)/(SUMIFS(Table38[Protein fed per feed type (tonnes)],Table7[Species in production (select)],Table11[[#This Row],[Species in production]]))*100), "")</f>
        <v/>
      </c>
      <c r="U29" s="26" t="str">
        <f xml:space="preserve"> IFERROR((SUMIFS(Table38[FM%/yield*feed use], Table7[Species in production (select)],Table11[[#This Row],[Species in production]])/SUMIFS(Table7[Feed use (tonnes)],Table7[Species in production (select)], Table11[[#This Row],[Species in production]])*Table11[[#This Row],[eFCR]]), "")</f>
        <v/>
      </c>
      <c r="V29" s="26" t="str">
        <f xml:space="preserve"> IFERROR((SUMIFS(Table38[FO%/yield*feed use], Table7[Species in production (select)],Table11[[#This Row],[Species in production]])/SUMIFS(Table7[Feed use (tonnes)], Table7[Species in production (select)], Table11[[#This Row],[Species in production]])*Table11[[#This Row],[eFCR]]), "")</f>
        <v/>
      </c>
      <c r="W29" s="26" t="str">
        <f xml:space="preserve"> IFERROR((SUMIFS(Table38[total EPA and DHA in feed, per type (g)],Table7[Species in production (select)], Table11[[#This Row],[Species in production]])/(SUMIFS(Table7[Feed use (tonnes)],Table7[Species in production (select)], Table11[[#This Row],[Species in production]])*1000)), "")</f>
        <v/>
      </c>
      <c r="X29" s="26" t="str">
        <f>IFERROR((SUMIFS(Table38[EPA and DHA% * feed use],Table7[Species in production (select)], Table11[[#This Row],[Species in production]])/(SUMIFS(Table7[Feed use (tonnes)],Table7[Species in production (select)], Table11[[#This Row],[Species in production]]))), "")</f>
        <v/>
      </c>
    </row>
    <row r="31" spans="3:24" x14ac:dyDescent="0.4">
      <c r="C31" s="17" t="s">
        <v>1915</v>
      </c>
    </row>
    <row r="32" spans="3:24" hidden="1" x14ac:dyDescent="0.4">
      <c r="C32" s="14">
        <v>9.1199999999999992</v>
      </c>
      <c r="D32" s="14">
        <v>9.1300000000000008</v>
      </c>
      <c r="E32" s="14">
        <v>9.14</v>
      </c>
      <c r="F32" s="14">
        <v>9.15</v>
      </c>
      <c r="G32" s="14">
        <v>9.16</v>
      </c>
    </row>
    <row r="33" spans="3:29" ht="33.75" customHeight="1" thickBot="1" x14ac:dyDescent="0.45">
      <c r="C33" s="48" t="s">
        <v>201</v>
      </c>
      <c r="D33" s="53" t="s">
        <v>64</v>
      </c>
      <c r="E33" s="52" t="s">
        <v>202</v>
      </c>
      <c r="F33" s="52" t="s">
        <v>203</v>
      </c>
      <c r="G33" s="54" t="s">
        <v>52</v>
      </c>
      <c r="J33" s="39"/>
      <c r="K33" s="14"/>
      <c r="Y33" s="40" t="s">
        <v>204</v>
      </c>
      <c r="Z33" s="41" t="s">
        <v>205</v>
      </c>
      <c r="AA33" s="41" t="s">
        <v>206</v>
      </c>
      <c r="AB33" s="42" t="s">
        <v>207</v>
      </c>
      <c r="AC33" s="42" t="s">
        <v>208</v>
      </c>
    </row>
    <row r="34" spans="3:29" ht="17.399999999999999" thickTop="1" x14ac:dyDescent="0.4">
      <c r="C34" s="30"/>
      <c r="D34" s="231"/>
      <c r="E34" s="30"/>
      <c r="F34" s="232"/>
      <c r="G34" s="233"/>
      <c r="J34" s="39"/>
      <c r="K34" s="14"/>
      <c r="Y34" s="43" t="str">
        <f t="shared" ref="Y34:Y65" si="0">IFERROR((VLOOKUP(E34, $C$4:$J$29, 8, 0))/100*F34,"")</f>
        <v/>
      </c>
      <c r="Z34" s="44" t="str">
        <f t="shared" ref="Z34:Z65" si="1">IFERROR((VLOOKUP(E34,$C$4:$J$29,4,0))*(VLOOKUP(E34,$C$4:$J$29,5,0))*F34*100,"")</f>
        <v/>
      </c>
      <c r="AA34" s="45" t="str">
        <f>IFERROR((VLOOKUP(E34,Table6[#All],4,0))/(VLOOKUP(E34,Table6[#All],6,0))*F34,"")</f>
        <v/>
      </c>
      <c r="AB34" s="46" t="str">
        <f>IFERROR((VLOOKUP(E34,Table6[#All],3,0))/(VLOOKUP(E34,Table6[#All],7,0))*F34,"")</f>
        <v/>
      </c>
      <c r="AC34" s="46" t="str">
        <f t="shared" ref="AC34:AC65" si="2">IFERROR((VLOOKUP(E34,$C$4:$J$29,5,0))*F34,"")</f>
        <v/>
      </c>
    </row>
    <row r="35" spans="3:29" x14ac:dyDescent="0.4">
      <c r="C35" s="30"/>
      <c r="D35" s="231"/>
      <c r="E35" s="30"/>
      <c r="F35" s="232"/>
      <c r="G35" s="233"/>
      <c r="J35" s="39"/>
      <c r="K35" s="14"/>
      <c r="Y35" s="43" t="str">
        <f t="shared" si="0"/>
        <v/>
      </c>
      <c r="Z35" s="44" t="str">
        <f t="shared" si="1"/>
        <v/>
      </c>
      <c r="AA35" s="45" t="str">
        <f>IFERROR((VLOOKUP(E35,Table6[#All],4,0))/(VLOOKUP(E35,Table6[#All],6,0))*F35,"")</f>
        <v/>
      </c>
      <c r="AB35" s="46" t="str">
        <f>IFERROR((VLOOKUP(E35,Table6[#All],3,0))/(VLOOKUP(E35,Table6[#All],7,0))*F35,"")</f>
        <v/>
      </c>
      <c r="AC35" s="46" t="str">
        <f t="shared" si="2"/>
        <v/>
      </c>
    </row>
    <row r="36" spans="3:29" x14ac:dyDescent="0.4">
      <c r="C36" s="30"/>
      <c r="D36" s="231"/>
      <c r="E36" s="30"/>
      <c r="F36" s="232"/>
      <c r="G36" s="233"/>
      <c r="J36" s="39"/>
      <c r="K36" s="14"/>
      <c r="Y36" s="43" t="str">
        <f t="shared" si="0"/>
        <v/>
      </c>
      <c r="Z36" s="44" t="str">
        <f t="shared" si="1"/>
        <v/>
      </c>
      <c r="AA36" s="45" t="str">
        <f>IFERROR((VLOOKUP(E36,Table6[#All],4,0))/(VLOOKUP(E36,Table6[#All],6,0))*F36,"")</f>
        <v/>
      </c>
      <c r="AB36" s="46" t="str">
        <f>IFERROR((VLOOKUP(E36,Table6[#All],3,0))/(VLOOKUP(E36,Table6[#All],7,0))*F36,"")</f>
        <v/>
      </c>
      <c r="AC36" s="46" t="str">
        <f t="shared" si="2"/>
        <v/>
      </c>
    </row>
    <row r="37" spans="3:29" x14ac:dyDescent="0.4">
      <c r="C37" s="30"/>
      <c r="D37" s="231"/>
      <c r="E37" s="30"/>
      <c r="F37" s="232"/>
      <c r="G37" s="233"/>
      <c r="J37" s="39"/>
      <c r="K37" s="14"/>
      <c r="Y37" s="43" t="str">
        <f t="shared" si="0"/>
        <v/>
      </c>
      <c r="Z37" s="44" t="str">
        <f t="shared" si="1"/>
        <v/>
      </c>
      <c r="AA37" s="45" t="str">
        <f>IFERROR((VLOOKUP(E37,Table6[#All],4,0))/(VLOOKUP(E37,Table6[#All],6,0))*F37,"")</f>
        <v/>
      </c>
      <c r="AB37" s="46" t="str">
        <f>IFERROR((VLOOKUP(E37,Table6[#All],3,0))/(VLOOKUP(E37,Table6[#All],7,0))*F37,"")</f>
        <v/>
      </c>
      <c r="AC37" s="46" t="str">
        <f t="shared" si="2"/>
        <v/>
      </c>
    </row>
    <row r="38" spans="3:29" x14ac:dyDescent="0.4">
      <c r="C38" s="30"/>
      <c r="D38" s="231"/>
      <c r="E38" s="30"/>
      <c r="F38" s="232"/>
      <c r="G38" s="233"/>
      <c r="J38" s="39"/>
      <c r="K38" s="14"/>
      <c r="Y38" s="43" t="str">
        <f t="shared" si="0"/>
        <v/>
      </c>
      <c r="Z38" s="44" t="str">
        <f t="shared" si="1"/>
        <v/>
      </c>
      <c r="AA38" s="45" t="str">
        <f>IFERROR((VLOOKUP(E38,Table6[#All],4,0))/(VLOOKUP(E38,Table6[#All],6,0))*F38,"")</f>
        <v/>
      </c>
      <c r="AB38" s="46" t="str">
        <f>IFERROR((VLOOKUP(E38,Table6[#All],3,0))/(VLOOKUP(E38,Table6[#All],7,0))*F38,"")</f>
        <v/>
      </c>
      <c r="AC38" s="46" t="str">
        <f t="shared" si="2"/>
        <v/>
      </c>
    </row>
    <row r="39" spans="3:29" x14ac:dyDescent="0.4">
      <c r="C39" s="30"/>
      <c r="D39" s="231"/>
      <c r="E39" s="30"/>
      <c r="F39" s="232"/>
      <c r="G39" s="233"/>
      <c r="J39" s="39"/>
      <c r="K39" s="14"/>
      <c r="Y39" s="43" t="str">
        <f t="shared" si="0"/>
        <v/>
      </c>
      <c r="Z39" s="44" t="str">
        <f t="shared" si="1"/>
        <v/>
      </c>
      <c r="AA39" s="45" t="str">
        <f>IFERROR((VLOOKUP(E39,Table6[#All],4,0))/(VLOOKUP(E39,Table6[#All],6,0))*F39,"")</f>
        <v/>
      </c>
      <c r="AB39" s="46" t="str">
        <f>IFERROR((VLOOKUP(E39,Table6[#All],3,0))/(VLOOKUP(E39,Table6[#All],7,0))*F39,"")</f>
        <v/>
      </c>
      <c r="AC39" s="46" t="str">
        <f t="shared" si="2"/>
        <v/>
      </c>
    </row>
    <row r="40" spans="3:29" x14ac:dyDescent="0.4">
      <c r="C40" s="30"/>
      <c r="D40" s="231"/>
      <c r="E40" s="30"/>
      <c r="F40" s="232"/>
      <c r="G40" s="233"/>
      <c r="J40" s="39"/>
      <c r="K40" s="14"/>
      <c r="Y40" s="43" t="str">
        <f t="shared" si="0"/>
        <v/>
      </c>
      <c r="Z40" s="44" t="str">
        <f t="shared" si="1"/>
        <v/>
      </c>
      <c r="AA40" s="45" t="str">
        <f>IFERROR((VLOOKUP(E40,Table6[#All],4,0))/(VLOOKUP(E40,Table6[#All],6,0))*F40,"")</f>
        <v/>
      </c>
      <c r="AB40" s="46" t="str">
        <f>IFERROR((VLOOKUP(E40,Table6[#All],3,0))/(VLOOKUP(E40,Table6[#All],7,0))*F40,"")</f>
        <v/>
      </c>
      <c r="AC40" s="46" t="str">
        <f t="shared" si="2"/>
        <v/>
      </c>
    </row>
    <row r="41" spans="3:29" x14ac:dyDescent="0.4">
      <c r="C41" s="30"/>
      <c r="D41" s="231"/>
      <c r="E41" s="30"/>
      <c r="F41" s="232"/>
      <c r="G41" s="233"/>
      <c r="J41" s="39"/>
      <c r="K41" s="14"/>
      <c r="Y41" s="43" t="str">
        <f t="shared" si="0"/>
        <v/>
      </c>
      <c r="Z41" s="44" t="str">
        <f t="shared" si="1"/>
        <v/>
      </c>
      <c r="AA41" s="45" t="str">
        <f>IFERROR((VLOOKUP(E41,Table6[#All],4,0))/(VLOOKUP(E41,Table6[#All],6,0))*F41,"")</f>
        <v/>
      </c>
      <c r="AB41" s="46" t="str">
        <f>IFERROR((VLOOKUP(E41,Table6[#All],3,0))/(VLOOKUP(E41,Table6[#All],7,0))*F41,"")</f>
        <v/>
      </c>
      <c r="AC41" s="46" t="str">
        <f t="shared" si="2"/>
        <v/>
      </c>
    </row>
    <row r="42" spans="3:29" x14ac:dyDescent="0.4">
      <c r="C42" s="30"/>
      <c r="D42" s="231"/>
      <c r="E42" s="30"/>
      <c r="F42" s="232"/>
      <c r="G42" s="233"/>
      <c r="J42" s="39"/>
      <c r="K42" s="14"/>
      <c r="Y42" s="43" t="str">
        <f t="shared" si="0"/>
        <v/>
      </c>
      <c r="Z42" s="44" t="str">
        <f t="shared" si="1"/>
        <v/>
      </c>
      <c r="AA42" s="45" t="str">
        <f>IFERROR((VLOOKUP(E42,Table6[#All],4,0))/(VLOOKUP(E42,Table6[#All],6,0))*F42,"")</f>
        <v/>
      </c>
      <c r="AB42" s="46" t="str">
        <f>IFERROR((VLOOKUP(E42,Table6[#All],3,0))/(VLOOKUP(E42,Table6[#All],7,0))*F42,"")</f>
        <v/>
      </c>
      <c r="AC42" s="46" t="str">
        <f t="shared" si="2"/>
        <v/>
      </c>
    </row>
    <row r="43" spans="3:29" x14ac:dyDescent="0.4">
      <c r="C43" s="30"/>
      <c r="D43" s="231"/>
      <c r="E43" s="30"/>
      <c r="F43" s="232"/>
      <c r="G43" s="233"/>
      <c r="J43" s="39"/>
      <c r="K43" s="14"/>
      <c r="Y43" s="43" t="str">
        <f t="shared" si="0"/>
        <v/>
      </c>
      <c r="Z43" s="44" t="str">
        <f t="shared" si="1"/>
        <v/>
      </c>
      <c r="AA43" s="45" t="str">
        <f>IFERROR((VLOOKUP(E43,Table6[#All],4,0))/(VLOOKUP(E43,Table6[#All],6,0))*F43,"")</f>
        <v/>
      </c>
      <c r="AB43" s="46" t="str">
        <f>IFERROR((VLOOKUP(E43,Table6[#All],3,0))/(VLOOKUP(E43,Table6[#All],7,0))*F43,"")</f>
        <v/>
      </c>
      <c r="AC43" s="46" t="str">
        <f t="shared" si="2"/>
        <v/>
      </c>
    </row>
    <row r="44" spans="3:29" x14ac:dyDescent="0.4">
      <c r="C44" s="30"/>
      <c r="D44" s="231"/>
      <c r="E44" s="30"/>
      <c r="F44" s="232"/>
      <c r="G44" s="233"/>
      <c r="J44" s="39"/>
      <c r="K44" s="14"/>
      <c r="Y44" s="43" t="str">
        <f t="shared" si="0"/>
        <v/>
      </c>
      <c r="Z44" s="44" t="str">
        <f t="shared" si="1"/>
        <v/>
      </c>
      <c r="AA44" s="45" t="str">
        <f>IFERROR((VLOOKUP(E44,Table6[#All],4,0))/(VLOOKUP(E44,Table6[#All],6,0))*F44,"")</f>
        <v/>
      </c>
      <c r="AB44" s="46" t="str">
        <f>IFERROR((VLOOKUP(E44,Table6[#All],3,0))/(VLOOKUP(E44,Table6[#All],7,0))*F44,"")</f>
        <v/>
      </c>
      <c r="AC44" s="46" t="str">
        <f t="shared" si="2"/>
        <v/>
      </c>
    </row>
    <row r="45" spans="3:29" x14ac:dyDescent="0.4">
      <c r="C45" s="30"/>
      <c r="D45" s="231"/>
      <c r="E45" s="30"/>
      <c r="F45" s="232"/>
      <c r="G45" s="233"/>
      <c r="J45" s="39"/>
      <c r="K45" s="14"/>
      <c r="Y45" s="43" t="str">
        <f t="shared" si="0"/>
        <v/>
      </c>
      <c r="Z45" s="44" t="str">
        <f t="shared" si="1"/>
        <v/>
      </c>
      <c r="AA45" s="45" t="str">
        <f>IFERROR((VLOOKUP(E45,Table6[#All],4,0))/(VLOOKUP(E45,Table6[#All],6,0))*F45,"")</f>
        <v/>
      </c>
      <c r="AB45" s="46" t="str">
        <f>IFERROR((VLOOKUP(E45,Table6[#All],3,0))/(VLOOKUP(E45,Table6[#All],7,0))*F45,"")</f>
        <v/>
      </c>
      <c r="AC45" s="46" t="str">
        <f t="shared" si="2"/>
        <v/>
      </c>
    </row>
    <row r="46" spans="3:29" x14ac:dyDescent="0.4">
      <c r="C46" s="30"/>
      <c r="D46" s="231"/>
      <c r="E46" s="30"/>
      <c r="F46" s="232"/>
      <c r="G46" s="233"/>
      <c r="J46" s="39"/>
      <c r="K46" s="14"/>
      <c r="Y46" s="43" t="str">
        <f t="shared" si="0"/>
        <v/>
      </c>
      <c r="Z46" s="44" t="str">
        <f t="shared" si="1"/>
        <v/>
      </c>
      <c r="AA46" s="45" t="str">
        <f>IFERROR((VLOOKUP(E46,Table6[#All],4,0))/(VLOOKUP(E46,Table6[#All],6,0))*F46,"")</f>
        <v/>
      </c>
      <c r="AB46" s="46" t="str">
        <f>IFERROR((VLOOKUP(E46,Table6[#All],3,0))/(VLOOKUP(E46,Table6[#All],7,0))*F46,"")</f>
        <v/>
      </c>
      <c r="AC46" s="46" t="str">
        <f t="shared" si="2"/>
        <v/>
      </c>
    </row>
    <row r="47" spans="3:29" x14ac:dyDescent="0.4">
      <c r="C47" s="30"/>
      <c r="D47" s="231"/>
      <c r="E47" s="30"/>
      <c r="F47" s="232"/>
      <c r="G47" s="233"/>
      <c r="J47" s="39"/>
      <c r="K47" s="14"/>
      <c r="M47" s="47"/>
      <c r="Y47" s="43" t="str">
        <f t="shared" si="0"/>
        <v/>
      </c>
      <c r="Z47" s="44" t="str">
        <f t="shared" si="1"/>
        <v/>
      </c>
      <c r="AA47" s="45" t="str">
        <f>IFERROR((VLOOKUP(E47,Table6[#All],4,0))/(VLOOKUP(E47,Table6[#All],6,0))*F47,"")</f>
        <v/>
      </c>
      <c r="AB47" s="46" t="str">
        <f>IFERROR((VLOOKUP(E47,Table6[#All],3,0))/(VLOOKUP(E47,Table6[#All],7,0))*F47,"")</f>
        <v/>
      </c>
      <c r="AC47" s="46" t="str">
        <f t="shared" si="2"/>
        <v/>
      </c>
    </row>
    <row r="48" spans="3:29" x14ac:dyDescent="0.4">
      <c r="C48" s="30"/>
      <c r="D48" s="231"/>
      <c r="E48" s="30"/>
      <c r="F48" s="232"/>
      <c r="G48" s="233"/>
      <c r="J48" s="39"/>
      <c r="K48" s="14"/>
      <c r="O48" s="21"/>
      <c r="Y48" s="43" t="str">
        <f t="shared" si="0"/>
        <v/>
      </c>
      <c r="Z48" s="44" t="str">
        <f t="shared" si="1"/>
        <v/>
      </c>
      <c r="AA48" s="45" t="str">
        <f>IFERROR((VLOOKUP(E48,Table6[#All],4,0))/(VLOOKUP(E48,Table6[#All],6,0))*F48,"")</f>
        <v/>
      </c>
      <c r="AB48" s="46" t="str">
        <f>IFERROR((VLOOKUP(E48,Table6[#All],3,0))/(VLOOKUP(E48,Table6[#All],7,0))*F48,"")</f>
        <v/>
      </c>
      <c r="AC48" s="46" t="str">
        <f t="shared" si="2"/>
        <v/>
      </c>
    </row>
    <row r="49" spans="3:29" x14ac:dyDescent="0.4">
      <c r="C49" s="30"/>
      <c r="D49" s="231"/>
      <c r="E49" s="30"/>
      <c r="F49" s="232"/>
      <c r="G49" s="233"/>
      <c r="J49" s="39"/>
      <c r="K49" s="14"/>
      <c r="Y49" s="43" t="str">
        <f t="shared" si="0"/>
        <v/>
      </c>
      <c r="Z49" s="44" t="str">
        <f t="shared" si="1"/>
        <v/>
      </c>
      <c r="AA49" s="45" t="str">
        <f>IFERROR((VLOOKUP(E49,Table6[#All],4,0))/(VLOOKUP(E49,Table6[#All],6,0))*F49,"")</f>
        <v/>
      </c>
      <c r="AB49" s="46" t="str">
        <f>IFERROR((VLOOKUP(E49,Table6[#All],3,0))/(VLOOKUP(E49,Table6[#All],7,0))*F49,"")</f>
        <v/>
      </c>
      <c r="AC49" s="46" t="str">
        <f t="shared" si="2"/>
        <v/>
      </c>
    </row>
    <row r="50" spans="3:29" x14ac:dyDescent="0.4">
      <c r="C50" s="30"/>
      <c r="D50" s="231"/>
      <c r="E50" s="30"/>
      <c r="F50" s="232"/>
      <c r="G50" s="233"/>
      <c r="J50" s="39"/>
      <c r="K50" s="14"/>
      <c r="Y50" s="43" t="str">
        <f t="shared" si="0"/>
        <v/>
      </c>
      <c r="Z50" s="44" t="str">
        <f t="shared" si="1"/>
        <v/>
      </c>
      <c r="AA50" s="45" t="str">
        <f>IFERROR((VLOOKUP(E50,Table6[#All],4,0))/(VLOOKUP(E50,Table6[#All],6,0))*F50,"")</f>
        <v/>
      </c>
      <c r="AB50" s="46" t="str">
        <f>IFERROR((VLOOKUP(E50,Table6[#All],3,0))/(VLOOKUP(E50,Table6[#All],7,0))*F50,"")</f>
        <v/>
      </c>
      <c r="AC50" s="46" t="str">
        <f t="shared" si="2"/>
        <v/>
      </c>
    </row>
    <row r="51" spans="3:29" x14ac:dyDescent="0.4">
      <c r="C51" s="30"/>
      <c r="D51" s="231"/>
      <c r="E51" s="30"/>
      <c r="F51" s="232"/>
      <c r="G51" s="233"/>
      <c r="J51" s="39"/>
      <c r="K51" s="14"/>
      <c r="Y51" s="43" t="str">
        <f t="shared" si="0"/>
        <v/>
      </c>
      <c r="Z51" s="44" t="str">
        <f t="shared" si="1"/>
        <v/>
      </c>
      <c r="AA51" s="45" t="str">
        <f>IFERROR((VLOOKUP(E51,Table6[#All],4,0))/(VLOOKUP(E51,Table6[#All],6,0))*F51,"")</f>
        <v/>
      </c>
      <c r="AB51" s="46" t="str">
        <f>IFERROR((VLOOKUP(E51,Table6[#All],3,0))/(VLOOKUP(E51,Table6[#All],7,0))*F51,"")</f>
        <v/>
      </c>
      <c r="AC51" s="46" t="str">
        <f t="shared" si="2"/>
        <v/>
      </c>
    </row>
    <row r="52" spans="3:29" x14ac:dyDescent="0.4">
      <c r="C52" s="30"/>
      <c r="D52" s="231"/>
      <c r="E52" s="30"/>
      <c r="F52" s="232"/>
      <c r="G52" s="233"/>
      <c r="J52" s="39"/>
      <c r="K52" s="14"/>
      <c r="Y52" s="43" t="str">
        <f t="shared" si="0"/>
        <v/>
      </c>
      <c r="Z52" s="44" t="str">
        <f t="shared" si="1"/>
        <v/>
      </c>
      <c r="AA52" s="45" t="str">
        <f>IFERROR((VLOOKUP(E52,Table6[#All],4,0))/(VLOOKUP(E52,Table6[#All],6,0))*F52,"")</f>
        <v/>
      </c>
      <c r="AB52" s="46" t="str">
        <f>IFERROR((VLOOKUP(E52,Table6[#All],3,0))/(VLOOKUP(E52,Table6[#All],7,0))*F52,"")</f>
        <v/>
      </c>
      <c r="AC52" s="46" t="str">
        <f t="shared" si="2"/>
        <v/>
      </c>
    </row>
    <row r="53" spans="3:29" x14ac:dyDescent="0.4">
      <c r="C53" s="30"/>
      <c r="D53" s="231"/>
      <c r="E53" s="30"/>
      <c r="F53" s="232"/>
      <c r="G53" s="233"/>
      <c r="J53" s="39"/>
      <c r="K53" s="14"/>
      <c r="Y53" s="43" t="str">
        <f t="shared" si="0"/>
        <v/>
      </c>
      <c r="Z53" s="44" t="str">
        <f t="shared" si="1"/>
        <v/>
      </c>
      <c r="AA53" s="45" t="str">
        <f>IFERROR((VLOOKUP(E53,Table6[#All],4,0))/(VLOOKUP(E53,Table6[#All],6,0))*F53,"")</f>
        <v/>
      </c>
      <c r="AB53" s="46" t="str">
        <f>IFERROR((VLOOKUP(E53,Table6[#All],3,0))/(VLOOKUP(E53,Table6[#All],7,0))*F53,"")</f>
        <v/>
      </c>
      <c r="AC53" s="46" t="str">
        <f t="shared" si="2"/>
        <v/>
      </c>
    </row>
    <row r="54" spans="3:29" x14ac:dyDescent="0.4">
      <c r="C54" s="30"/>
      <c r="D54" s="231"/>
      <c r="E54" s="30"/>
      <c r="F54" s="232"/>
      <c r="G54" s="233"/>
      <c r="J54" s="39"/>
      <c r="K54" s="14"/>
      <c r="Y54" s="43" t="str">
        <f t="shared" si="0"/>
        <v/>
      </c>
      <c r="Z54" s="44" t="str">
        <f t="shared" si="1"/>
        <v/>
      </c>
      <c r="AA54" s="45" t="str">
        <f>IFERROR((VLOOKUP(E54,Table6[#All],4,0))/(VLOOKUP(E54,Table6[#All],6,0))*F54,"")</f>
        <v/>
      </c>
      <c r="AB54" s="46" t="str">
        <f>IFERROR((VLOOKUP(E54,Table6[#All],3,0))/(VLOOKUP(E54,Table6[#All],7,0))*F54,"")</f>
        <v/>
      </c>
      <c r="AC54" s="46" t="str">
        <f t="shared" si="2"/>
        <v/>
      </c>
    </row>
    <row r="55" spans="3:29" x14ac:dyDescent="0.4">
      <c r="C55" s="30"/>
      <c r="D55" s="231"/>
      <c r="E55" s="30"/>
      <c r="F55" s="232"/>
      <c r="G55" s="233"/>
      <c r="J55" s="39"/>
      <c r="K55" s="14"/>
      <c r="Y55" s="43" t="str">
        <f t="shared" si="0"/>
        <v/>
      </c>
      <c r="Z55" s="44" t="str">
        <f t="shared" si="1"/>
        <v/>
      </c>
      <c r="AA55" s="45" t="str">
        <f>IFERROR((VLOOKUP(E55,Table6[#All],4,0))/(VLOOKUP(E55,Table6[#All],6,0))*F55,"")</f>
        <v/>
      </c>
      <c r="AB55" s="46" t="str">
        <f>IFERROR((VLOOKUP(E55,Table6[#All],3,0))/(VLOOKUP(E55,Table6[#All],7,0))*F55,"")</f>
        <v/>
      </c>
      <c r="AC55" s="46" t="str">
        <f t="shared" si="2"/>
        <v/>
      </c>
    </row>
    <row r="56" spans="3:29" x14ac:dyDescent="0.4">
      <c r="C56" s="30"/>
      <c r="D56" s="231"/>
      <c r="E56" s="30"/>
      <c r="F56" s="232"/>
      <c r="G56" s="233"/>
      <c r="J56" s="39"/>
      <c r="K56" s="14"/>
      <c r="Y56" s="43" t="str">
        <f t="shared" si="0"/>
        <v/>
      </c>
      <c r="Z56" s="44" t="str">
        <f t="shared" si="1"/>
        <v/>
      </c>
      <c r="AA56" s="45" t="str">
        <f>IFERROR((VLOOKUP(E56,Table6[#All],4,0))/(VLOOKUP(E56,Table6[#All],6,0))*F56,"")</f>
        <v/>
      </c>
      <c r="AB56" s="46" t="str">
        <f>IFERROR((VLOOKUP(E56,Table6[#All],3,0))/(VLOOKUP(E56,Table6[#All],7,0))*F56,"")</f>
        <v/>
      </c>
      <c r="AC56" s="46" t="str">
        <f t="shared" si="2"/>
        <v/>
      </c>
    </row>
    <row r="57" spans="3:29" x14ac:dyDescent="0.4">
      <c r="C57" s="30"/>
      <c r="D57" s="231"/>
      <c r="E57" s="30"/>
      <c r="F57" s="232"/>
      <c r="G57" s="233"/>
      <c r="J57" s="39"/>
      <c r="K57" s="14"/>
      <c r="Y57" s="43" t="str">
        <f t="shared" si="0"/>
        <v/>
      </c>
      <c r="Z57" s="44" t="str">
        <f t="shared" si="1"/>
        <v/>
      </c>
      <c r="AA57" s="45" t="str">
        <f>IFERROR((VLOOKUP(E57,Table6[#All],4,0))/(VLOOKUP(E57,Table6[#All],6,0))*F57,"")</f>
        <v/>
      </c>
      <c r="AB57" s="46" t="str">
        <f>IFERROR((VLOOKUP(E57,Table6[#All],3,0))/(VLOOKUP(E57,Table6[#All],7,0))*F57,"")</f>
        <v/>
      </c>
      <c r="AC57" s="46" t="str">
        <f t="shared" si="2"/>
        <v/>
      </c>
    </row>
    <row r="58" spans="3:29" x14ac:dyDescent="0.4">
      <c r="C58" s="30"/>
      <c r="D58" s="231"/>
      <c r="E58" s="30"/>
      <c r="F58" s="232"/>
      <c r="G58" s="233"/>
      <c r="J58" s="39"/>
      <c r="K58" s="14"/>
      <c r="Y58" s="43" t="str">
        <f t="shared" si="0"/>
        <v/>
      </c>
      <c r="Z58" s="44" t="str">
        <f t="shared" si="1"/>
        <v/>
      </c>
      <c r="AA58" s="45" t="str">
        <f>IFERROR((VLOOKUP(E58,Table6[#All],4,0))/(VLOOKUP(E58,Table6[#All],6,0))*F58,"")</f>
        <v/>
      </c>
      <c r="AB58" s="46" t="str">
        <f>IFERROR((VLOOKUP(E58,Table6[#All],3,0))/(VLOOKUP(E58,Table6[#All],7,0))*F58,"")</f>
        <v/>
      </c>
      <c r="AC58" s="46" t="str">
        <f t="shared" si="2"/>
        <v/>
      </c>
    </row>
    <row r="59" spans="3:29" x14ac:dyDescent="0.4">
      <c r="C59" s="30"/>
      <c r="D59" s="231"/>
      <c r="E59" s="30"/>
      <c r="F59" s="232"/>
      <c r="G59" s="233"/>
      <c r="J59" s="39"/>
      <c r="K59" s="14"/>
      <c r="Y59" s="43" t="str">
        <f t="shared" si="0"/>
        <v/>
      </c>
      <c r="Z59" s="44" t="str">
        <f t="shared" si="1"/>
        <v/>
      </c>
      <c r="AA59" s="45" t="str">
        <f>IFERROR((VLOOKUP(E59,Table6[#All],4,0))/(VLOOKUP(E59,Table6[#All],6,0))*F59,"")</f>
        <v/>
      </c>
      <c r="AB59" s="46" t="str">
        <f>IFERROR((VLOOKUP(E59,Table6[#All],3,0))/(VLOOKUP(E59,Table6[#All],7,0))*F59,"")</f>
        <v/>
      </c>
      <c r="AC59" s="46" t="str">
        <f t="shared" si="2"/>
        <v/>
      </c>
    </row>
    <row r="60" spans="3:29" x14ac:dyDescent="0.4">
      <c r="C60" s="30"/>
      <c r="D60" s="231"/>
      <c r="E60" s="30"/>
      <c r="F60" s="232"/>
      <c r="G60" s="233"/>
      <c r="J60" s="39"/>
      <c r="K60" s="14"/>
      <c r="Y60" s="43" t="str">
        <f t="shared" si="0"/>
        <v/>
      </c>
      <c r="Z60" s="44" t="str">
        <f t="shared" si="1"/>
        <v/>
      </c>
      <c r="AA60" s="45" t="str">
        <f>IFERROR((VLOOKUP(E60,Table6[#All],4,0))/(VLOOKUP(E60,Table6[#All],6,0))*F60,"")</f>
        <v/>
      </c>
      <c r="AB60" s="46" t="str">
        <f>IFERROR((VLOOKUP(E60,Table6[#All],3,0))/(VLOOKUP(E60,Table6[#All],7,0))*F60,"")</f>
        <v/>
      </c>
      <c r="AC60" s="46" t="str">
        <f t="shared" si="2"/>
        <v/>
      </c>
    </row>
    <row r="61" spans="3:29" x14ac:dyDescent="0.4">
      <c r="C61" s="30"/>
      <c r="D61" s="231"/>
      <c r="E61" s="30"/>
      <c r="F61" s="232"/>
      <c r="G61" s="233"/>
      <c r="J61" s="39"/>
      <c r="K61" s="14"/>
      <c r="N61" s="21"/>
      <c r="Y61" s="43" t="str">
        <f t="shared" si="0"/>
        <v/>
      </c>
      <c r="Z61" s="44" t="str">
        <f t="shared" si="1"/>
        <v/>
      </c>
      <c r="AA61" s="45" t="str">
        <f>IFERROR((VLOOKUP(E61,Table6[#All],4,0))/(VLOOKUP(E61,Table6[#All],6,0))*F61,"")</f>
        <v/>
      </c>
      <c r="AB61" s="46" t="str">
        <f>IFERROR((VLOOKUP(E61,Table6[#All],3,0))/(VLOOKUP(E61,Table6[#All],7,0))*F61,"")</f>
        <v/>
      </c>
      <c r="AC61" s="46" t="str">
        <f t="shared" si="2"/>
        <v/>
      </c>
    </row>
    <row r="62" spans="3:29" x14ac:dyDescent="0.4">
      <c r="C62" s="30"/>
      <c r="D62" s="231"/>
      <c r="E62" s="30"/>
      <c r="F62" s="232"/>
      <c r="G62" s="233"/>
      <c r="J62" s="39"/>
      <c r="K62" s="14"/>
      <c r="N62" s="19"/>
      <c r="Y62" s="43" t="str">
        <f t="shared" si="0"/>
        <v/>
      </c>
      <c r="Z62" s="44" t="str">
        <f t="shared" si="1"/>
        <v/>
      </c>
      <c r="AA62" s="45" t="str">
        <f>IFERROR((VLOOKUP(E62,Table6[#All],4,0))/(VLOOKUP(E62,Table6[#All],6,0))*F62,"")</f>
        <v/>
      </c>
      <c r="AB62" s="46" t="str">
        <f>IFERROR((VLOOKUP(E62,Table6[#All],3,0))/(VLOOKUP(E62,Table6[#All],7,0))*F62,"")</f>
        <v/>
      </c>
      <c r="AC62" s="46" t="str">
        <f t="shared" si="2"/>
        <v/>
      </c>
    </row>
    <row r="63" spans="3:29" x14ac:dyDescent="0.4">
      <c r="C63" s="30"/>
      <c r="D63" s="231"/>
      <c r="E63" s="30"/>
      <c r="F63" s="232"/>
      <c r="G63" s="233"/>
      <c r="J63" s="39"/>
      <c r="K63" s="14"/>
      <c r="N63" s="21"/>
      <c r="Y63" s="43" t="str">
        <f t="shared" si="0"/>
        <v/>
      </c>
      <c r="Z63" s="44" t="str">
        <f t="shared" si="1"/>
        <v/>
      </c>
      <c r="AA63" s="45" t="str">
        <f>IFERROR((VLOOKUP(E63,Table6[#All],4,0))/(VLOOKUP(E63,Table6[#All],6,0))*F63,"")</f>
        <v/>
      </c>
      <c r="AB63" s="46" t="str">
        <f>IFERROR((VLOOKUP(E63,Table6[#All],3,0))/(VLOOKUP(E63,Table6[#All],7,0))*F63,"")</f>
        <v/>
      </c>
      <c r="AC63" s="46" t="str">
        <f t="shared" si="2"/>
        <v/>
      </c>
    </row>
    <row r="64" spans="3:29" x14ac:dyDescent="0.4">
      <c r="C64" s="30"/>
      <c r="D64" s="231"/>
      <c r="E64" s="30"/>
      <c r="F64" s="232"/>
      <c r="G64" s="233"/>
      <c r="J64" s="39"/>
      <c r="K64" s="14"/>
      <c r="Y64" s="43" t="str">
        <f t="shared" si="0"/>
        <v/>
      </c>
      <c r="Z64" s="44" t="str">
        <f t="shared" si="1"/>
        <v/>
      </c>
      <c r="AA64" s="45" t="str">
        <f>IFERROR((VLOOKUP(E64,Table6[#All],4,0))/(VLOOKUP(E64,Table6[#All],6,0))*F64,"")</f>
        <v/>
      </c>
      <c r="AB64" s="46" t="str">
        <f>IFERROR((VLOOKUP(E64,Table6[#All],3,0))/(VLOOKUP(E64,Table6[#All],7,0))*F64,"")</f>
        <v/>
      </c>
      <c r="AC64" s="46" t="str">
        <f t="shared" si="2"/>
        <v/>
      </c>
    </row>
    <row r="65" spans="3:29" x14ac:dyDescent="0.4">
      <c r="C65" s="30"/>
      <c r="D65" s="231"/>
      <c r="E65" s="30"/>
      <c r="F65" s="232"/>
      <c r="G65" s="233"/>
      <c r="J65" s="39"/>
      <c r="K65" s="14"/>
      <c r="Y65" s="43" t="str">
        <f t="shared" si="0"/>
        <v/>
      </c>
      <c r="Z65" s="44" t="str">
        <f t="shared" si="1"/>
        <v/>
      </c>
      <c r="AA65" s="45" t="str">
        <f>IFERROR((VLOOKUP(E65,Table6[#All],4,0))/(VLOOKUP(E65,Table6[#All],6,0))*F65,"")</f>
        <v/>
      </c>
      <c r="AB65" s="46" t="str">
        <f>IFERROR((VLOOKUP(E65,Table6[#All],3,0))/(VLOOKUP(E65,Table6[#All],7,0))*F65,"")</f>
        <v/>
      </c>
      <c r="AC65" s="46" t="str">
        <f t="shared" si="2"/>
        <v/>
      </c>
    </row>
    <row r="66" spans="3:29" x14ac:dyDescent="0.4">
      <c r="C66" s="30"/>
      <c r="D66" s="231"/>
      <c r="E66" s="30"/>
      <c r="F66" s="232"/>
      <c r="G66" s="233"/>
      <c r="J66" s="39"/>
      <c r="K66" s="14"/>
      <c r="Y66" s="43" t="str">
        <f t="shared" ref="Y66:Y97" si="3">IFERROR((VLOOKUP(E66, $C$4:$J$29, 8, 0))/100*F66,"")</f>
        <v/>
      </c>
      <c r="Z66" s="44" t="str">
        <f t="shared" ref="Z66:Z100" si="4">IFERROR((VLOOKUP(E66,$C$4:$J$29,4,0))*(VLOOKUP(E66,$C$4:$J$29,5,0))*F66*100,"")</f>
        <v/>
      </c>
      <c r="AA66" s="45" t="str">
        <f>IFERROR((VLOOKUP(E66,Table6[#All],4,0))/(VLOOKUP(E66,Table6[#All],6,0))*F66,"")</f>
        <v/>
      </c>
      <c r="AB66" s="46" t="str">
        <f>IFERROR((VLOOKUP(E66,Table6[#All],3,0))/(VLOOKUP(E66,Table6[#All],7,0))*F66,"")</f>
        <v/>
      </c>
      <c r="AC66" s="46" t="str">
        <f t="shared" ref="AC66:AC100" si="5">IFERROR((VLOOKUP(E66,$C$4:$J$29,5,0))*F66,"")</f>
        <v/>
      </c>
    </row>
    <row r="67" spans="3:29" x14ac:dyDescent="0.4">
      <c r="C67" s="30"/>
      <c r="D67" s="231"/>
      <c r="E67" s="30"/>
      <c r="F67" s="232"/>
      <c r="G67" s="233"/>
      <c r="J67" s="39"/>
      <c r="K67" s="14"/>
      <c r="Y67" s="43" t="str">
        <f t="shared" si="3"/>
        <v/>
      </c>
      <c r="Z67" s="44" t="str">
        <f t="shared" si="4"/>
        <v/>
      </c>
      <c r="AA67" s="45" t="str">
        <f>IFERROR((VLOOKUP(E67,Table6[#All],4,0))/(VLOOKUP(E67,Table6[#All],6,0))*F67,"")</f>
        <v/>
      </c>
      <c r="AB67" s="46" t="str">
        <f>IFERROR((VLOOKUP(E67,Table6[#All],3,0))/(VLOOKUP(E67,Table6[#All],7,0))*F67,"")</f>
        <v/>
      </c>
      <c r="AC67" s="46" t="str">
        <f t="shared" si="5"/>
        <v/>
      </c>
    </row>
    <row r="68" spans="3:29" x14ac:dyDescent="0.4">
      <c r="C68" s="30"/>
      <c r="D68" s="231"/>
      <c r="E68" s="30"/>
      <c r="F68" s="232"/>
      <c r="G68" s="233"/>
      <c r="J68" s="39"/>
      <c r="K68" s="14"/>
      <c r="Y68" s="43" t="str">
        <f t="shared" si="3"/>
        <v/>
      </c>
      <c r="Z68" s="44" t="str">
        <f t="shared" si="4"/>
        <v/>
      </c>
      <c r="AA68" s="45" t="str">
        <f>IFERROR((VLOOKUP(E68,Table6[#All],4,0))/(VLOOKUP(E68,Table6[#All],6,0))*F68,"")</f>
        <v/>
      </c>
      <c r="AB68" s="46" t="str">
        <f>IFERROR((VLOOKUP(E68,Table6[#All],3,0))/(VLOOKUP(E68,Table6[#All],7,0))*F68,"")</f>
        <v/>
      </c>
      <c r="AC68" s="46" t="str">
        <f t="shared" si="5"/>
        <v/>
      </c>
    </row>
    <row r="69" spans="3:29" x14ac:dyDescent="0.4">
      <c r="C69" s="30"/>
      <c r="D69" s="231"/>
      <c r="E69" s="30"/>
      <c r="F69" s="232"/>
      <c r="G69" s="233"/>
      <c r="J69" s="39"/>
      <c r="K69" s="14"/>
      <c r="Y69" s="43" t="str">
        <f t="shared" si="3"/>
        <v/>
      </c>
      <c r="Z69" s="44" t="str">
        <f t="shared" si="4"/>
        <v/>
      </c>
      <c r="AA69" s="45" t="str">
        <f>IFERROR((VLOOKUP(E69,Table6[#All],4,0))/(VLOOKUP(E69,Table6[#All],6,0))*F69,"")</f>
        <v/>
      </c>
      <c r="AB69" s="46" t="str">
        <f>IFERROR((VLOOKUP(E69,Table6[#All],3,0))/(VLOOKUP(E69,Table6[#All],7,0))*F69,"")</f>
        <v/>
      </c>
      <c r="AC69" s="46" t="str">
        <f t="shared" si="5"/>
        <v/>
      </c>
    </row>
    <row r="70" spans="3:29" x14ac:dyDescent="0.4">
      <c r="C70" s="30"/>
      <c r="D70" s="231"/>
      <c r="E70" s="30"/>
      <c r="F70" s="232"/>
      <c r="G70" s="233"/>
      <c r="J70" s="39"/>
      <c r="K70" s="14"/>
      <c r="Y70" s="43" t="str">
        <f t="shared" si="3"/>
        <v/>
      </c>
      <c r="Z70" s="44" t="str">
        <f t="shared" si="4"/>
        <v/>
      </c>
      <c r="AA70" s="45" t="str">
        <f>IFERROR((VLOOKUP(E70,Table6[#All],4,0))/(VLOOKUP(E70,Table6[#All],6,0))*F70,"")</f>
        <v/>
      </c>
      <c r="AB70" s="46" t="str">
        <f>IFERROR((VLOOKUP(E70,Table6[#All],3,0))/(VLOOKUP(E70,Table6[#All],7,0))*F70,"")</f>
        <v/>
      </c>
      <c r="AC70" s="46" t="str">
        <f t="shared" si="5"/>
        <v/>
      </c>
    </row>
    <row r="71" spans="3:29" x14ac:dyDescent="0.4">
      <c r="C71" s="30"/>
      <c r="D71" s="231"/>
      <c r="E71" s="30"/>
      <c r="F71" s="232"/>
      <c r="G71" s="233"/>
      <c r="J71" s="39"/>
      <c r="K71" s="14"/>
      <c r="Y71" s="43" t="str">
        <f t="shared" si="3"/>
        <v/>
      </c>
      <c r="Z71" s="44" t="str">
        <f t="shared" si="4"/>
        <v/>
      </c>
      <c r="AA71" s="45" t="str">
        <f>IFERROR((VLOOKUP(E71,Table6[#All],4,0))/(VLOOKUP(E71,Table6[#All],6,0))*F71,"")</f>
        <v/>
      </c>
      <c r="AB71" s="46" t="str">
        <f>IFERROR((VLOOKUP(E71,Table6[#All],3,0))/(VLOOKUP(E71,Table6[#All],7,0))*F71,"")</f>
        <v/>
      </c>
      <c r="AC71" s="46" t="str">
        <f t="shared" si="5"/>
        <v/>
      </c>
    </row>
    <row r="72" spans="3:29" x14ac:dyDescent="0.4">
      <c r="C72" s="30"/>
      <c r="D72" s="231"/>
      <c r="E72" s="30"/>
      <c r="F72" s="232"/>
      <c r="G72" s="233"/>
      <c r="J72" s="39"/>
      <c r="K72" s="14"/>
      <c r="Y72" s="43" t="str">
        <f t="shared" si="3"/>
        <v/>
      </c>
      <c r="Z72" s="44" t="str">
        <f t="shared" si="4"/>
        <v/>
      </c>
      <c r="AA72" s="45" t="str">
        <f>IFERROR((VLOOKUP(E72,Table6[#All],4,0))/(VLOOKUP(E72,Table6[#All],6,0))*F72,"")</f>
        <v/>
      </c>
      <c r="AB72" s="46" t="str">
        <f>IFERROR((VLOOKUP(E72,Table6[#All],3,0))/(VLOOKUP(E72,Table6[#All],7,0))*F72,"")</f>
        <v/>
      </c>
      <c r="AC72" s="46" t="str">
        <f t="shared" si="5"/>
        <v/>
      </c>
    </row>
    <row r="73" spans="3:29" x14ac:dyDescent="0.4">
      <c r="C73" s="30"/>
      <c r="D73" s="231"/>
      <c r="E73" s="30"/>
      <c r="F73" s="232"/>
      <c r="G73" s="233"/>
      <c r="J73" s="39"/>
      <c r="K73" s="14"/>
      <c r="Y73" s="43" t="str">
        <f t="shared" si="3"/>
        <v/>
      </c>
      <c r="Z73" s="44" t="str">
        <f t="shared" si="4"/>
        <v/>
      </c>
      <c r="AA73" s="45" t="str">
        <f>IFERROR((VLOOKUP(E73,Table6[#All],4,0))/(VLOOKUP(E73,Table6[#All],6,0))*F73,"")</f>
        <v/>
      </c>
      <c r="AB73" s="46" t="str">
        <f>IFERROR((VLOOKUP(E73,Table6[#All],3,0))/(VLOOKUP(E73,Table6[#All],7,0))*F73,"")</f>
        <v/>
      </c>
      <c r="AC73" s="46" t="str">
        <f t="shared" si="5"/>
        <v/>
      </c>
    </row>
    <row r="74" spans="3:29" x14ac:dyDescent="0.4">
      <c r="C74" s="30"/>
      <c r="D74" s="231"/>
      <c r="E74" s="30"/>
      <c r="F74" s="232"/>
      <c r="G74" s="233"/>
      <c r="J74" s="39"/>
      <c r="K74" s="14"/>
      <c r="Y74" s="43" t="str">
        <f t="shared" si="3"/>
        <v/>
      </c>
      <c r="Z74" s="44" t="str">
        <f t="shared" si="4"/>
        <v/>
      </c>
      <c r="AA74" s="45" t="str">
        <f>IFERROR((VLOOKUP(E74,Table6[#All],4,0))/(VLOOKUP(E74,Table6[#All],6,0))*F74,"")</f>
        <v/>
      </c>
      <c r="AB74" s="46" t="str">
        <f>IFERROR((VLOOKUP(E74,Table6[#All],3,0))/(VLOOKUP(E74,Table6[#All],7,0))*F74,"")</f>
        <v/>
      </c>
      <c r="AC74" s="46" t="str">
        <f t="shared" si="5"/>
        <v/>
      </c>
    </row>
    <row r="75" spans="3:29" x14ac:dyDescent="0.4">
      <c r="C75" s="30"/>
      <c r="D75" s="231"/>
      <c r="E75" s="30"/>
      <c r="F75" s="232"/>
      <c r="G75" s="233"/>
      <c r="J75" s="39"/>
      <c r="K75" s="14"/>
      <c r="Y75" s="43" t="str">
        <f t="shared" si="3"/>
        <v/>
      </c>
      <c r="Z75" s="44" t="str">
        <f t="shared" si="4"/>
        <v/>
      </c>
      <c r="AA75" s="45" t="str">
        <f>IFERROR((VLOOKUP(E75,Table6[#All],4,0))/(VLOOKUP(E75,Table6[#All],6,0))*F75,"")</f>
        <v/>
      </c>
      <c r="AB75" s="46" t="str">
        <f>IFERROR((VLOOKUP(E75,Table6[#All],3,0))/(VLOOKUP(E75,Table6[#All],7,0))*F75,"")</f>
        <v/>
      </c>
      <c r="AC75" s="46" t="str">
        <f t="shared" si="5"/>
        <v/>
      </c>
    </row>
    <row r="76" spans="3:29" x14ac:dyDescent="0.4">
      <c r="C76" s="30"/>
      <c r="D76" s="231"/>
      <c r="E76" s="30"/>
      <c r="F76" s="232"/>
      <c r="G76" s="233"/>
      <c r="J76" s="39"/>
      <c r="K76" s="14"/>
      <c r="Y76" s="43" t="str">
        <f t="shared" si="3"/>
        <v/>
      </c>
      <c r="Z76" s="44" t="str">
        <f t="shared" si="4"/>
        <v/>
      </c>
      <c r="AA76" s="45" t="str">
        <f>IFERROR((VLOOKUP(E76,Table6[#All],4,0))/(VLOOKUP(E76,Table6[#All],6,0))*F76,"")</f>
        <v/>
      </c>
      <c r="AB76" s="46" t="str">
        <f>IFERROR((VLOOKUP(E76,Table6[#All],3,0))/(VLOOKUP(E76,Table6[#All],7,0))*F76,"")</f>
        <v/>
      </c>
      <c r="AC76" s="46" t="str">
        <f t="shared" si="5"/>
        <v/>
      </c>
    </row>
    <row r="77" spans="3:29" x14ac:dyDescent="0.4">
      <c r="C77" s="30"/>
      <c r="D77" s="231"/>
      <c r="E77" s="30"/>
      <c r="F77" s="232"/>
      <c r="G77" s="233"/>
      <c r="J77" s="39"/>
      <c r="K77" s="14"/>
      <c r="M77" s="39"/>
      <c r="Y77" s="43" t="str">
        <f t="shared" si="3"/>
        <v/>
      </c>
      <c r="Z77" s="44" t="str">
        <f t="shared" si="4"/>
        <v/>
      </c>
      <c r="AA77" s="45" t="str">
        <f>IFERROR((VLOOKUP(E77,Table6[#All],4,0))/(VLOOKUP(E77,Table6[#All],6,0))*F77,"")</f>
        <v/>
      </c>
      <c r="AB77" s="46" t="str">
        <f>IFERROR((VLOOKUP(E77,Table6[#All],3,0))/(VLOOKUP(E77,Table6[#All],7,0))*F77,"")</f>
        <v/>
      </c>
      <c r="AC77" s="46" t="str">
        <f t="shared" si="5"/>
        <v/>
      </c>
    </row>
    <row r="78" spans="3:29" x14ac:dyDescent="0.4">
      <c r="C78" s="30"/>
      <c r="D78" s="231"/>
      <c r="E78" s="30"/>
      <c r="F78" s="232"/>
      <c r="G78" s="233"/>
      <c r="J78" s="39"/>
      <c r="K78" s="14"/>
      <c r="M78" s="39"/>
      <c r="Y78" s="43" t="str">
        <f t="shared" si="3"/>
        <v/>
      </c>
      <c r="Z78" s="44" t="str">
        <f t="shared" si="4"/>
        <v/>
      </c>
      <c r="AA78" s="45" t="str">
        <f>IFERROR((VLOOKUP(E78,Table6[#All],4,0))/(VLOOKUP(E78,Table6[#All],6,0))*F78,"")</f>
        <v/>
      </c>
      <c r="AB78" s="46" t="str">
        <f>IFERROR((VLOOKUP(E78,Table6[#All],3,0))/(VLOOKUP(E78,Table6[#All],7,0))*F78,"")</f>
        <v/>
      </c>
      <c r="AC78" s="46" t="str">
        <f t="shared" si="5"/>
        <v/>
      </c>
    </row>
    <row r="79" spans="3:29" x14ac:dyDescent="0.4">
      <c r="C79" s="30"/>
      <c r="D79" s="231"/>
      <c r="E79" s="30"/>
      <c r="F79" s="232"/>
      <c r="G79" s="233"/>
      <c r="J79" s="39"/>
      <c r="K79" s="14"/>
      <c r="M79" s="39"/>
      <c r="Y79" s="43" t="str">
        <f t="shared" si="3"/>
        <v/>
      </c>
      <c r="Z79" s="44" t="str">
        <f t="shared" si="4"/>
        <v/>
      </c>
      <c r="AA79" s="45" t="str">
        <f>IFERROR((VLOOKUP(E79,Table6[#All],4,0))/(VLOOKUP(E79,Table6[#All],6,0))*F79,"")</f>
        <v/>
      </c>
      <c r="AB79" s="46" t="str">
        <f>IFERROR((VLOOKUP(E79,Table6[#All],3,0))/(VLOOKUP(E79,Table6[#All],7,0))*F79,"")</f>
        <v/>
      </c>
      <c r="AC79" s="46" t="str">
        <f t="shared" si="5"/>
        <v/>
      </c>
    </row>
    <row r="80" spans="3:29" x14ac:dyDescent="0.4">
      <c r="C80" s="30"/>
      <c r="D80" s="231"/>
      <c r="E80" s="30"/>
      <c r="F80" s="232"/>
      <c r="G80" s="233"/>
      <c r="J80" s="39"/>
      <c r="K80" s="14"/>
      <c r="M80" s="39"/>
      <c r="Y80" s="43" t="str">
        <f t="shared" si="3"/>
        <v/>
      </c>
      <c r="Z80" s="44" t="str">
        <f t="shared" si="4"/>
        <v/>
      </c>
      <c r="AA80" s="45" t="str">
        <f>IFERROR((VLOOKUP(E80,Table6[#All],4,0))/(VLOOKUP(E80,Table6[#All],6,0))*F80,"")</f>
        <v/>
      </c>
      <c r="AB80" s="46" t="str">
        <f>IFERROR((VLOOKUP(E80,Table6[#All],3,0))/(VLOOKUP(E80,Table6[#All],7,0))*F80,"")</f>
        <v/>
      </c>
      <c r="AC80" s="46" t="str">
        <f t="shared" si="5"/>
        <v/>
      </c>
    </row>
    <row r="81" spans="3:29" x14ac:dyDescent="0.4">
      <c r="C81" s="30"/>
      <c r="D81" s="231"/>
      <c r="E81" s="30"/>
      <c r="F81" s="232"/>
      <c r="G81" s="233"/>
      <c r="J81" s="39"/>
      <c r="K81" s="14"/>
      <c r="M81" s="39"/>
      <c r="Y81" s="43" t="str">
        <f t="shared" si="3"/>
        <v/>
      </c>
      <c r="Z81" s="44" t="str">
        <f t="shared" si="4"/>
        <v/>
      </c>
      <c r="AA81" s="45" t="str">
        <f>IFERROR((VLOOKUP(E81,Table6[#All],4,0))/(VLOOKUP(E81,Table6[#All],6,0))*F81,"")</f>
        <v/>
      </c>
      <c r="AB81" s="46" t="str">
        <f>IFERROR((VLOOKUP(E81,Table6[#All],3,0))/(VLOOKUP(E81,Table6[#All],7,0))*F81,"")</f>
        <v/>
      </c>
      <c r="AC81" s="46" t="str">
        <f t="shared" si="5"/>
        <v/>
      </c>
    </row>
    <row r="82" spans="3:29" x14ac:dyDescent="0.4">
      <c r="C82" s="30"/>
      <c r="D82" s="231"/>
      <c r="E82" s="30"/>
      <c r="F82" s="232"/>
      <c r="G82" s="233"/>
      <c r="J82" s="39"/>
      <c r="K82" s="14"/>
      <c r="M82" s="39"/>
      <c r="Y82" s="43" t="str">
        <f t="shared" si="3"/>
        <v/>
      </c>
      <c r="Z82" s="44" t="str">
        <f t="shared" si="4"/>
        <v/>
      </c>
      <c r="AA82" s="45" t="str">
        <f>IFERROR((VLOOKUP(E82,Table6[#All],4,0))/(VLOOKUP(E82,Table6[#All],6,0))*F82,"")</f>
        <v/>
      </c>
      <c r="AB82" s="46" t="str">
        <f>IFERROR((VLOOKUP(E82,Table6[#All],3,0))/(VLOOKUP(E82,Table6[#All],7,0))*F82,"")</f>
        <v/>
      </c>
      <c r="AC82" s="46" t="str">
        <f t="shared" si="5"/>
        <v/>
      </c>
    </row>
    <row r="83" spans="3:29" x14ac:dyDescent="0.4">
      <c r="C83" s="30"/>
      <c r="D83" s="231"/>
      <c r="E83" s="30"/>
      <c r="F83" s="232"/>
      <c r="G83" s="233"/>
      <c r="J83" s="39"/>
      <c r="K83" s="14"/>
      <c r="M83" s="39"/>
      <c r="Y83" s="43" t="str">
        <f t="shared" si="3"/>
        <v/>
      </c>
      <c r="Z83" s="44" t="str">
        <f t="shared" si="4"/>
        <v/>
      </c>
      <c r="AA83" s="45" t="str">
        <f>IFERROR((VLOOKUP(E83,Table6[#All],4,0))/(VLOOKUP(E83,Table6[#All],6,0))*F83,"")</f>
        <v/>
      </c>
      <c r="AB83" s="46" t="str">
        <f>IFERROR((VLOOKUP(E83,Table6[#All],3,0))/(VLOOKUP(E83,Table6[#All],7,0))*F83,"")</f>
        <v/>
      </c>
      <c r="AC83" s="46" t="str">
        <f t="shared" si="5"/>
        <v/>
      </c>
    </row>
    <row r="84" spans="3:29" x14ac:dyDescent="0.4">
      <c r="C84" s="30"/>
      <c r="D84" s="231"/>
      <c r="E84" s="30"/>
      <c r="F84" s="232"/>
      <c r="G84" s="233"/>
      <c r="J84" s="39"/>
      <c r="K84" s="14"/>
      <c r="M84" s="39"/>
      <c r="Y84" s="43" t="str">
        <f t="shared" si="3"/>
        <v/>
      </c>
      <c r="Z84" s="44" t="str">
        <f t="shared" si="4"/>
        <v/>
      </c>
      <c r="AA84" s="45" t="str">
        <f>IFERROR((VLOOKUP(E84,Table6[#All],4,0))/(VLOOKUP(E84,Table6[#All],6,0))*F84,"")</f>
        <v/>
      </c>
      <c r="AB84" s="46" t="str">
        <f>IFERROR((VLOOKUP(E84,Table6[#All],3,0))/(VLOOKUP(E84,Table6[#All],7,0))*F84,"")</f>
        <v/>
      </c>
      <c r="AC84" s="46" t="str">
        <f t="shared" si="5"/>
        <v/>
      </c>
    </row>
    <row r="85" spans="3:29" x14ac:dyDescent="0.4">
      <c r="C85" s="30"/>
      <c r="D85" s="231"/>
      <c r="E85" s="30"/>
      <c r="F85" s="232"/>
      <c r="G85" s="233"/>
      <c r="J85" s="39"/>
      <c r="K85" s="14"/>
      <c r="M85" s="39"/>
      <c r="Y85" s="43" t="str">
        <f t="shared" si="3"/>
        <v/>
      </c>
      <c r="Z85" s="44" t="str">
        <f t="shared" si="4"/>
        <v/>
      </c>
      <c r="AA85" s="45" t="str">
        <f>IFERROR((VLOOKUP(E85,Table6[#All],4,0))/(VLOOKUP(E85,Table6[#All],6,0))*F85,"")</f>
        <v/>
      </c>
      <c r="AB85" s="46" t="str">
        <f>IFERROR((VLOOKUP(E85,Table6[#All],3,0))/(VLOOKUP(E85,Table6[#All],7,0))*F85,"")</f>
        <v/>
      </c>
      <c r="AC85" s="46" t="str">
        <f t="shared" si="5"/>
        <v/>
      </c>
    </row>
    <row r="86" spans="3:29" x14ac:dyDescent="0.4">
      <c r="C86" s="30"/>
      <c r="D86" s="231"/>
      <c r="E86" s="30"/>
      <c r="F86" s="232"/>
      <c r="G86" s="233"/>
      <c r="J86" s="39"/>
      <c r="K86" s="14"/>
      <c r="M86" s="39"/>
      <c r="Y86" s="43" t="str">
        <f t="shared" si="3"/>
        <v/>
      </c>
      <c r="Z86" s="44" t="str">
        <f t="shared" si="4"/>
        <v/>
      </c>
      <c r="AA86" s="45" t="str">
        <f>IFERROR((VLOOKUP(E86,Table6[#All],4,0))/(VLOOKUP(E86,Table6[#All],6,0))*F86,"")</f>
        <v/>
      </c>
      <c r="AB86" s="46" t="str">
        <f>IFERROR((VLOOKUP(E86,Table6[#All],3,0))/(VLOOKUP(E86,Table6[#All],7,0))*F86,"")</f>
        <v/>
      </c>
      <c r="AC86" s="46" t="str">
        <f t="shared" si="5"/>
        <v/>
      </c>
    </row>
    <row r="87" spans="3:29" x14ac:dyDescent="0.4">
      <c r="C87" s="30"/>
      <c r="D87" s="231"/>
      <c r="E87" s="30"/>
      <c r="F87" s="232"/>
      <c r="G87" s="233"/>
      <c r="J87" s="39"/>
      <c r="K87" s="14"/>
      <c r="Y87" s="43" t="str">
        <f t="shared" si="3"/>
        <v/>
      </c>
      <c r="Z87" s="44" t="str">
        <f t="shared" si="4"/>
        <v/>
      </c>
      <c r="AA87" s="45" t="str">
        <f>IFERROR((VLOOKUP(E87,Table6[#All],4,0))/(VLOOKUP(E87,Table6[#All],6,0))*F87,"")</f>
        <v/>
      </c>
      <c r="AB87" s="46" t="str">
        <f>IFERROR((VLOOKUP(E87,Table6[#All],3,0))/(VLOOKUP(E87,Table6[#All],7,0))*F87,"")</f>
        <v/>
      </c>
      <c r="AC87" s="46" t="str">
        <f t="shared" si="5"/>
        <v/>
      </c>
    </row>
    <row r="88" spans="3:29" x14ac:dyDescent="0.4">
      <c r="C88" s="30"/>
      <c r="D88" s="231"/>
      <c r="E88" s="30"/>
      <c r="F88" s="232"/>
      <c r="G88" s="233"/>
      <c r="J88" s="39"/>
      <c r="K88" s="14"/>
      <c r="Y88" s="43" t="str">
        <f t="shared" si="3"/>
        <v/>
      </c>
      <c r="Z88" s="44" t="str">
        <f t="shared" si="4"/>
        <v/>
      </c>
      <c r="AA88" s="45" t="str">
        <f>IFERROR((VLOOKUP(E88,Table6[#All],4,0))/(VLOOKUP(E88,Table6[#All],6,0))*F88,"")</f>
        <v/>
      </c>
      <c r="AB88" s="46" t="str">
        <f>IFERROR((VLOOKUP(E88,Table6[#All],3,0))/(VLOOKUP(E88,Table6[#All],7,0))*F88,"")</f>
        <v/>
      </c>
      <c r="AC88" s="46" t="str">
        <f t="shared" si="5"/>
        <v/>
      </c>
    </row>
    <row r="89" spans="3:29" x14ac:dyDescent="0.4">
      <c r="C89" s="30"/>
      <c r="D89" s="231"/>
      <c r="E89" s="30"/>
      <c r="F89" s="232"/>
      <c r="G89" s="233"/>
      <c r="J89" s="39"/>
      <c r="K89" s="14"/>
      <c r="Y89" s="43" t="str">
        <f t="shared" si="3"/>
        <v/>
      </c>
      <c r="Z89" s="44" t="str">
        <f t="shared" si="4"/>
        <v/>
      </c>
      <c r="AA89" s="45" t="str">
        <f>IFERROR((VLOOKUP(E89,Table6[#All],4,0))/(VLOOKUP(E89,Table6[#All],6,0))*F89,"")</f>
        <v/>
      </c>
      <c r="AB89" s="46" t="str">
        <f>IFERROR((VLOOKUP(E89,Table6[#All],3,0))/(VLOOKUP(E89,Table6[#All],7,0))*F89,"")</f>
        <v/>
      </c>
      <c r="AC89" s="46" t="str">
        <f t="shared" si="5"/>
        <v/>
      </c>
    </row>
    <row r="90" spans="3:29" x14ac:dyDescent="0.4">
      <c r="C90" s="30"/>
      <c r="D90" s="231"/>
      <c r="E90" s="30"/>
      <c r="F90" s="232"/>
      <c r="G90" s="233"/>
      <c r="J90" s="39"/>
      <c r="K90" s="14"/>
      <c r="Y90" s="43" t="str">
        <f t="shared" si="3"/>
        <v/>
      </c>
      <c r="Z90" s="44" t="str">
        <f t="shared" si="4"/>
        <v/>
      </c>
      <c r="AA90" s="45" t="str">
        <f>IFERROR((VLOOKUP(E90,Table6[#All],4,0))/(VLOOKUP(E90,Table6[#All],6,0))*F90,"")</f>
        <v/>
      </c>
      <c r="AB90" s="46" t="str">
        <f>IFERROR((VLOOKUP(E90,Table6[#All],3,0))/(VLOOKUP(E90,Table6[#All],7,0))*F90,"")</f>
        <v/>
      </c>
      <c r="AC90" s="46" t="str">
        <f t="shared" si="5"/>
        <v/>
      </c>
    </row>
    <row r="91" spans="3:29" x14ac:dyDescent="0.4">
      <c r="C91" s="30"/>
      <c r="D91" s="231"/>
      <c r="E91" s="30"/>
      <c r="F91" s="232"/>
      <c r="G91" s="233"/>
      <c r="J91" s="39"/>
      <c r="K91" s="14"/>
      <c r="Y91" s="43" t="str">
        <f t="shared" si="3"/>
        <v/>
      </c>
      <c r="Z91" s="44" t="str">
        <f t="shared" si="4"/>
        <v/>
      </c>
      <c r="AA91" s="45" t="str">
        <f>IFERROR((VLOOKUP(E91,Table6[#All],4,0))/(VLOOKUP(E91,Table6[#All],6,0))*F91,"")</f>
        <v/>
      </c>
      <c r="AB91" s="46" t="str">
        <f>IFERROR((VLOOKUP(E91,Table6[#All],3,0))/(VLOOKUP(E91,Table6[#All],7,0))*F91,"")</f>
        <v/>
      </c>
      <c r="AC91" s="46" t="str">
        <f t="shared" si="5"/>
        <v/>
      </c>
    </row>
    <row r="92" spans="3:29" x14ac:dyDescent="0.4">
      <c r="C92" s="30"/>
      <c r="D92" s="231"/>
      <c r="E92" s="30"/>
      <c r="F92" s="232"/>
      <c r="G92" s="233"/>
      <c r="J92" s="39"/>
      <c r="K92" s="14"/>
      <c r="Y92" s="43" t="str">
        <f t="shared" si="3"/>
        <v/>
      </c>
      <c r="Z92" s="44" t="str">
        <f t="shared" si="4"/>
        <v/>
      </c>
      <c r="AA92" s="45" t="str">
        <f>IFERROR((VLOOKUP(E92,Table6[#All],4,0))/(VLOOKUP(E92,Table6[#All],6,0))*F92,"")</f>
        <v/>
      </c>
      <c r="AB92" s="46" t="str">
        <f>IFERROR((VLOOKUP(E92,Table6[#All],3,0))/(VLOOKUP(E92,Table6[#All],7,0))*F92,"")</f>
        <v/>
      </c>
      <c r="AC92" s="46" t="str">
        <f t="shared" si="5"/>
        <v/>
      </c>
    </row>
    <row r="93" spans="3:29" x14ac:dyDescent="0.4">
      <c r="C93" s="30"/>
      <c r="D93" s="231"/>
      <c r="E93" s="30"/>
      <c r="F93" s="232"/>
      <c r="G93" s="233"/>
      <c r="J93" s="39"/>
      <c r="K93" s="14"/>
      <c r="Y93" s="43" t="str">
        <f t="shared" si="3"/>
        <v/>
      </c>
      <c r="Z93" s="44" t="str">
        <f t="shared" si="4"/>
        <v/>
      </c>
      <c r="AA93" s="45" t="str">
        <f>IFERROR((VLOOKUP(E93,Table6[#All],4,0))/(VLOOKUP(E93,Table6[#All],6,0))*F93,"")</f>
        <v/>
      </c>
      <c r="AB93" s="46" t="str">
        <f>IFERROR((VLOOKUP(E93,Table6[#All],3,0))/(VLOOKUP(E93,Table6[#All],7,0))*F93,"")</f>
        <v/>
      </c>
      <c r="AC93" s="46" t="str">
        <f t="shared" si="5"/>
        <v/>
      </c>
    </row>
    <row r="94" spans="3:29" x14ac:dyDescent="0.4">
      <c r="C94" s="30"/>
      <c r="D94" s="231"/>
      <c r="E94" s="30"/>
      <c r="F94" s="232"/>
      <c r="G94" s="233"/>
      <c r="J94" s="39"/>
      <c r="K94" s="14"/>
      <c r="Y94" s="43" t="str">
        <f t="shared" si="3"/>
        <v/>
      </c>
      <c r="Z94" s="44" t="str">
        <f t="shared" si="4"/>
        <v/>
      </c>
      <c r="AA94" s="45" t="str">
        <f>IFERROR((VLOOKUP(E94,Table6[#All],4,0))/(VLOOKUP(E94,Table6[#All],6,0))*F94,"")</f>
        <v/>
      </c>
      <c r="AB94" s="46" t="str">
        <f>IFERROR((VLOOKUP(E94,Table6[#All],3,0))/(VLOOKUP(E94,Table6[#All],7,0))*F94,"")</f>
        <v/>
      </c>
      <c r="AC94" s="46" t="str">
        <f t="shared" si="5"/>
        <v/>
      </c>
    </row>
    <row r="95" spans="3:29" x14ac:dyDescent="0.4">
      <c r="C95" s="30"/>
      <c r="D95" s="231"/>
      <c r="E95" s="30"/>
      <c r="F95" s="232"/>
      <c r="G95" s="233"/>
      <c r="J95" s="39"/>
      <c r="K95" s="14"/>
      <c r="Y95" s="43" t="str">
        <f t="shared" si="3"/>
        <v/>
      </c>
      <c r="Z95" s="44" t="str">
        <f t="shared" si="4"/>
        <v/>
      </c>
      <c r="AA95" s="45" t="str">
        <f>IFERROR((VLOOKUP(E95,Table6[#All],4,0))/(VLOOKUP(E95,Table6[#All],6,0))*F95,"")</f>
        <v/>
      </c>
      <c r="AB95" s="46" t="str">
        <f>IFERROR((VLOOKUP(E95,Table6[#All],3,0))/(VLOOKUP(E95,Table6[#All],7,0))*F95,"")</f>
        <v/>
      </c>
      <c r="AC95" s="46" t="str">
        <f t="shared" si="5"/>
        <v/>
      </c>
    </row>
    <row r="96" spans="3:29" x14ac:dyDescent="0.4">
      <c r="C96" s="30"/>
      <c r="D96" s="231"/>
      <c r="E96" s="30"/>
      <c r="F96" s="232"/>
      <c r="G96" s="233"/>
      <c r="J96" s="39"/>
      <c r="K96" s="14"/>
      <c r="Y96" s="43" t="str">
        <f t="shared" si="3"/>
        <v/>
      </c>
      <c r="Z96" s="44" t="str">
        <f t="shared" si="4"/>
        <v/>
      </c>
      <c r="AA96" s="45" t="str">
        <f>IFERROR((VLOOKUP(E96,Table6[#All],4,0))/(VLOOKUP(E96,Table6[#All],6,0))*F96,"")</f>
        <v/>
      </c>
      <c r="AB96" s="46" t="str">
        <f>IFERROR((VLOOKUP(E96,Table6[#All],3,0))/(VLOOKUP(E96,Table6[#All],7,0))*F96,"")</f>
        <v/>
      </c>
      <c r="AC96" s="46" t="str">
        <f t="shared" si="5"/>
        <v/>
      </c>
    </row>
    <row r="97" spans="3:29" x14ac:dyDescent="0.4">
      <c r="C97" s="30"/>
      <c r="D97" s="231"/>
      <c r="E97" s="30"/>
      <c r="F97" s="232"/>
      <c r="G97" s="233"/>
      <c r="J97" s="39"/>
      <c r="K97" s="14"/>
      <c r="Y97" s="43" t="str">
        <f t="shared" si="3"/>
        <v/>
      </c>
      <c r="Z97" s="44" t="str">
        <f t="shared" si="4"/>
        <v/>
      </c>
      <c r="AA97" s="45" t="str">
        <f>IFERROR((VLOOKUP(E97,Table6[#All],4,0))/(VLOOKUP(E97,Table6[#All],6,0))*F97,"")</f>
        <v/>
      </c>
      <c r="AB97" s="46" t="str">
        <f>IFERROR((VLOOKUP(E97,Table6[#All],3,0))/(VLOOKUP(E97,Table6[#All],7,0))*F97,"")</f>
        <v/>
      </c>
      <c r="AC97" s="46" t="str">
        <f t="shared" si="5"/>
        <v/>
      </c>
    </row>
    <row r="98" spans="3:29" x14ac:dyDescent="0.4">
      <c r="C98" s="30"/>
      <c r="D98" s="231"/>
      <c r="E98" s="30"/>
      <c r="F98" s="232"/>
      <c r="G98" s="233"/>
      <c r="J98" s="39"/>
      <c r="K98" s="14"/>
      <c r="Y98" s="43" t="str">
        <f t="shared" ref="Y98:Y100" si="6">IFERROR((VLOOKUP(E98, $C$4:$J$29, 8, 0))/100*F98,"")</f>
        <v/>
      </c>
      <c r="Z98" s="44" t="str">
        <f t="shared" si="4"/>
        <v/>
      </c>
      <c r="AA98" s="45" t="str">
        <f>IFERROR((VLOOKUP(E98,Table6[#All],4,0))/(VLOOKUP(E98,Table6[#All],6,0))*F98,"")</f>
        <v/>
      </c>
      <c r="AB98" s="46" t="str">
        <f>IFERROR((VLOOKUP(E98,Table6[#All],3,0))/(VLOOKUP(E98,Table6[#All],7,0))*F98,"")</f>
        <v/>
      </c>
      <c r="AC98" s="46" t="str">
        <f t="shared" si="5"/>
        <v/>
      </c>
    </row>
    <row r="99" spans="3:29" x14ac:dyDescent="0.4">
      <c r="C99" s="30"/>
      <c r="D99" s="231"/>
      <c r="E99" s="30"/>
      <c r="F99" s="232"/>
      <c r="G99" s="233"/>
      <c r="J99" s="39"/>
      <c r="K99" s="14"/>
      <c r="Y99" s="43" t="str">
        <f t="shared" si="6"/>
        <v/>
      </c>
      <c r="Z99" s="44" t="str">
        <f t="shared" si="4"/>
        <v/>
      </c>
      <c r="AA99" s="45" t="str">
        <f>IFERROR((VLOOKUP(E99,Table6[#All],4,0))/(VLOOKUP(E99,Table6[#All],6,0))*F99,"")</f>
        <v/>
      </c>
      <c r="AB99" s="46" t="str">
        <f>IFERROR((VLOOKUP(E99,Table6[#All],3,0))/(VLOOKUP(E99,Table6[#All],7,0))*F99,"")</f>
        <v/>
      </c>
      <c r="AC99" s="46" t="str">
        <f t="shared" si="5"/>
        <v/>
      </c>
    </row>
    <row r="100" spans="3:29" x14ac:dyDescent="0.4">
      <c r="C100" s="30"/>
      <c r="D100" s="231"/>
      <c r="E100" s="30"/>
      <c r="F100" s="232"/>
      <c r="G100" s="233"/>
      <c r="J100" s="39"/>
      <c r="K100" s="14"/>
      <c r="Y100" s="43" t="str">
        <f t="shared" si="6"/>
        <v/>
      </c>
      <c r="Z100" s="44" t="str">
        <f t="shared" si="4"/>
        <v/>
      </c>
      <c r="AA100" s="45" t="str">
        <f>IFERROR((VLOOKUP(E100,Table6[#All],4,0))/(VLOOKUP(E100,Table6[#All],6,0))*F100,"")</f>
        <v/>
      </c>
      <c r="AB100" s="46" t="str">
        <f>IFERROR((VLOOKUP(E100,Table6[#All],3,0))/(VLOOKUP(E100,Table6[#All],7,0))*F100,"")</f>
        <v/>
      </c>
      <c r="AC100" s="46" t="str">
        <f t="shared" si="5"/>
        <v/>
      </c>
    </row>
  </sheetData>
  <sheetProtection algorithmName="SHA-512" hashValue="if8PDjQvaKYU9w5ChY/W8IBfXjzKrDlPhLdh26ngvcdQa60RgoubnpNlO4l622JyWC0IrIMjtVr574SCe9aOyg==" saltValue="80IEWP/l/m5a52SA9Ch4GQ==" spinCount="100000" sheet="1" objects="1" scenarios="1"/>
  <phoneticPr fontId="6" type="noConversion"/>
  <dataValidations count="3">
    <dataValidation type="list" allowBlank="1" showInputMessage="1" showErrorMessage="1" sqref="E34:E100" xr:uid="{54969E9A-4A94-4AF8-89FF-34B902C1656D}">
      <formula1>$C$5:$C$29</formula1>
    </dataValidation>
    <dataValidation type="decimal" allowBlank="1" showInputMessage="1" showErrorMessage="1" sqref="O5:O29 E5:K29" xr:uid="{A63757DF-10F7-4B7B-96AB-B20A410A7AAB}">
      <formula1>0</formula1>
      <formula2>100</formula2>
    </dataValidation>
    <dataValidation type="decimal" allowBlank="1" showInputMessage="1" showErrorMessage="1" sqref="F34:F100" xr:uid="{9152734D-189C-49F3-8DE7-2F9D71287E4E}">
      <formula1>0</formula1>
      <formula2>10000000</formula2>
    </dataValidation>
  </dataValidations>
  <pageMargins left="0.7" right="0.7" top="0.75" bottom="0.75" header="0.3" footer="0.3"/>
  <pageSetup orientation="portrait" r:id="rId1"/>
  <drawing r:id="rId2"/>
  <legacyDrawing r:id="rId3"/>
  <tableParts count="5">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2">
        <x14:dataValidation type="list" allowBlank="1" showInputMessage="1" showErrorMessage="1" xr:uid="{FA5E7F7A-B8F2-486F-A408-514D41FE64D9}">
          <x14:formula1>
            <xm:f>'Dropdown tables - Production'!$C$2:$C$77</xm:f>
          </x14:formula1>
          <xm:sqref>C34:C100</xm:sqref>
        </x14:dataValidation>
        <x14:dataValidation type="list" allowBlank="1" showInputMessage="1" showErrorMessage="1" xr:uid="{57949A3C-05D3-4926-9C12-7F12A470D122}">
          <x14:formula1>
            <xm:f>'Dropdown tables - Production'!$D$2:$D$77</xm:f>
          </x14:formula1>
          <xm:sqref>D34:D100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45B58-12C3-4E4D-85EF-7B684D2E7E45}">
  <sheetPr codeName="Sheet21">
    <tabColor theme="9" tint="0.59999389629810485"/>
  </sheetPr>
  <dimension ref="C2:R42"/>
  <sheetViews>
    <sheetView zoomScale="80" zoomScaleNormal="80" workbookViewId="0"/>
  </sheetViews>
  <sheetFormatPr defaultColWidth="9" defaultRowHeight="16.8" x14ac:dyDescent="0.4"/>
  <cols>
    <col min="1" max="1" width="9" style="14"/>
    <col min="2" max="2" width="0" style="14" hidden="1" customWidth="1"/>
    <col min="3" max="3" width="24.77734375" style="32" bestFit="1" customWidth="1"/>
    <col min="4" max="4" width="10" style="32" bestFit="1" customWidth="1"/>
    <col min="5" max="5" width="17.5546875" style="14" bestFit="1" customWidth="1"/>
    <col min="6" max="6" width="17.77734375" style="14" bestFit="1" customWidth="1"/>
    <col min="7" max="7" width="17.21875" style="14" customWidth="1"/>
    <col min="8" max="8" width="9" style="14" customWidth="1"/>
    <col min="9" max="9" width="26" style="14" customWidth="1"/>
    <col min="10" max="10" width="18.21875" style="14" bestFit="1" customWidth="1"/>
    <col min="11" max="11" width="16.5546875" style="14" bestFit="1" customWidth="1"/>
    <col min="12" max="12" width="28.77734375" style="14" bestFit="1" customWidth="1"/>
    <col min="13" max="13" width="28" style="14" bestFit="1" customWidth="1"/>
    <col min="14" max="14" width="18.21875" style="14" bestFit="1" customWidth="1"/>
    <col min="15" max="15" width="16.21875" style="14" bestFit="1" customWidth="1"/>
    <col min="16" max="16" width="21.6640625" style="14" customWidth="1"/>
    <col min="17" max="16384" width="9" style="14"/>
  </cols>
  <sheetData>
    <row r="2" spans="3:18" x14ac:dyDescent="0.4">
      <c r="C2" s="17" t="s">
        <v>212</v>
      </c>
      <c r="I2" s="17" t="s">
        <v>1917</v>
      </c>
    </row>
    <row r="3" spans="3:18" ht="30.45" hidden="1" customHeight="1" x14ac:dyDescent="0.4">
      <c r="C3" s="234">
        <v>12.1</v>
      </c>
      <c r="D3" s="234">
        <v>12.2</v>
      </c>
      <c r="E3" s="234">
        <v>12.3</v>
      </c>
      <c r="F3" s="234">
        <v>12.4</v>
      </c>
      <c r="G3" s="234">
        <v>12.5</v>
      </c>
      <c r="I3" s="234">
        <v>12.6</v>
      </c>
      <c r="J3" s="234">
        <v>12.7</v>
      </c>
      <c r="K3" s="234">
        <v>12.8</v>
      </c>
      <c r="L3" s="234"/>
      <c r="M3" s="234"/>
      <c r="N3" s="333">
        <v>12.12</v>
      </c>
      <c r="O3" s="333">
        <v>12.13</v>
      </c>
      <c r="P3" s="333">
        <v>12.14</v>
      </c>
      <c r="R3" s="14" t="s">
        <v>213</v>
      </c>
    </row>
    <row r="4" spans="3:18" ht="38.549999999999997" customHeight="1" x14ac:dyDescent="0.4">
      <c r="C4" s="152" t="s">
        <v>42</v>
      </c>
      <c r="D4" s="153" t="s">
        <v>209</v>
      </c>
      <c r="E4" s="22" t="s">
        <v>211</v>
      </c>
      <c r="F4" s="22" t="s">
        <v>214</v>
      </c>
      <c r="G4" s="35" t="s">
        <v>52</v>
      </c>
      <c r="I4" s="342" t="s">
        <v>68</v>
      </c>
      <c r="J4" s="58" t="s">
        <v>48</v>
      </c>
      <c r="K4" s="58" t="s">
        <v>210</v>
      </c>
      <c r="L4" s="58" t="s">
        <v>1927</v>
      </c>
      <c r="M4" s="58" t="s">
        <v>1928</v>
      </c>
      <c r="N4" s="101" t="s">
        <v>215</v>
      </c>
      <c r="O4" s="101" t="s">
        <v>216</v>
      </c>
      <c r="P4" s="157" t="s">
        <v>217</v>
      </c>
    </row>
    <row r="5" spans="3:18" x14ac:dyDescent="0.4">
      <c r="C5" s="27"/>
      <c r="D5" s="28"/>
      <c r="E5" s="30"/>
      <c r="F5" s="30"/>
      <c r="G5" s="231"/>
      <c r="I5" s="34">
        <f>'Dropdown tables - Production'!G3</f>
        <v>0</v>
      </c>
      <c r="J5" s="34" t="str">
        <f>IF(IF(I5=0, "", SUMIFS(Table126[Stocking count 
('# animals)],Table126[Species in production (Latin name) (select)],Table34[[#This Row],[Species in production]]))=0, "0",IF(I5=0, "", SUMIFS(Table126[Stocking count 
('# animals)],Table126[Species in production (Latin name) (select)],Table34[[#This Row],[Species in production]])))</f>
        <v/>
      </c>
      <c r="K5" s="34" t="str">
        <f>IF(IF(I5=0, "", SUMIFS(Table126[Harvest count 
('# animals)],Table126[Species in production (Latin name) (select)],Table34[[#This Row],[Species in production]]))=0, "0",IF(I5=0, "", SUMIFS(Table126[Harvest count 
('# animals)],Table126[Species in production (Latin name) (select)],Table34[[#This Row],[Species in production]])))</f>
        <v/>
      </c>
      <c r="L5" s="34" t="str">
        <f>IF(IF(I5=0, "", SUMIFS(Table126[Standing stock, start yr ('# animals)],Table126[Species in production (Latin name) (select)],Table34[[#This Row],[Species in production]]))=0, "0",IF(I5=0, "", SUMIFS(Table126[Standing stock, start yr ('# animals)],Table126[Species in production (Latin name) (select)],Table34[[#This Row],[Species in production]])))</f>
        <v/>
      </c>
      <c r="M5" s="34" t="str">
        <f>IF(IF(I5=0, "", SUMIFS(Table126[Standing stock, end yr ('# animals)],Table126[Species in production (Latin name) (select)],Table34[[#This Row],[Species in production]]))=0, "0",IF(I5=0, "", SUMIFS(Table126[Standing stock, end yr ('# animals)],Table126[Species in production (Latin name) (select)],Table34[[#This Row],[Species in production]])))</f>
        <v/>
      </c>
      <c r="N5" s="235" t="str">
        <f>IF(I5= 0, "", (SUMIFS(Table225[Mortality count
('# animals)],Table225[Species in production (Latin name) (select)],I5)))</f>
        <v/>
      </c>
      <c r="O5" s="236" t="str">
        <f>IFERROR((Table34[[#This Row],[Mortality count ('# animals)]]/(Table34[[#This Row],[Stocking count 
('# animals)]]+Table34[[#This Row],[ASC certified standing stock, start yr ('# animals)]]))*100, "")</f>
        <v/>
      </c>
      <c r="P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6" spans="3:18" x14ac:dyDescent="0.4">
      <c r="C6" s="27"/>
      <c r="D6" s="28"/>
      <c r="E6" s="30"/>
      <c r="F6" s="30"/>
      <c r="G6" s="231"/>
      <c r="I6" s="34">
        <f>'Dropdown tables - Production'!G4</f>
        <v>0</v>
      </c>
      <c r="J6" s="34" t="str">
        <f>IF(IF(I6=0, "", SUMIFS(Table126[Stocking count 
('# animals)],Table126[Species in production (Latin name) (select)],Table34[[#This Row],[Species in production]]))=0, "0",IF(I6=0, "", SUMIFS(Table126[Stocking count 
('# animals)],Table126[Species in production (Latin name) (select)],Table34[[#This Row],[Species in production]])))</f>
        <v/>
      </c>
      <c r="K6" s="34" t="str">
        <f>IF(IF(I6=0, "", SUMIFS(Table126[Harvest count 
('# animals)],Table126[Species in production (Latin name) (select)],Table34[[#This Row],[Species in production]]))=0, "0",IF(I6=0, "", SUMIFS(Table126[Harvest count 
('# animals)],Table126[Species in production (Latin name) (select)],Table34[[#This Row],[Species in production]])))</f>
        <v/>
      </c>
      <c r="L6" s="34" t="str">
        <f>IF(IF(I6=0, "", SUMIFS(Table126[Standing stock, start yr ('# animals)],Table126[Species in production (Latin name) (select)],Table34[[#This Row],[Species in production]]))=0, "0",IF(I6=0, "", SUMIFS(Table126[Standing stock, start yr ('# animals)],Table126[Species in production (Latin name) (select)],Table34[[#This Row],[Species in production]])))</f>
        <v/>
      </c>
      <c r="M6" s="34" t="str">
        <f>IF(IF(I6=0, "", SUMIFS(Table126[Standing stock, end yr ('# animals)],Table126[Species in production (Latin name) (select)],Table34[[#This Row],[Species in production]]))=0, "0",IF(I6=0, "", SUMIFS(Table126[Standing stock, end yr ('# animals)],Table126[Species in production (Latin name) (select)],Table34[[#This Row],[Species in production]])))</f>
        <v/>
      </c>
      <c r="N6" s="235" t="str">
        <f>IF(I6= 0, "", (SUMIFS(Table225[Mortality count
('# animals)],Table225[Species in production (Latin name) (select)],I6)))</f>
        <v/>
      </c>
      <c r="O6" s="236" t="str">
        <f>IFERROR((Table34[[#This Row],[Mortality count ('# animals)]]/(Table34[[#This Row],[Stocking count 
('# animals)]]+Table34[[#This Row],[ASC certified standing stock, start yr ('# animals)]]))*100, "")</f>
        <v/>
      </c>
      <c r="P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7" spans="3:18" x14ac:dyDescent="0.4">
      <c r="C7" s="27"/>
      <c r="D7" s="28"/>
      <c r="E7" s="30"/>
      <c r="F7" s="30"/>
      <c r="G7" s="231"/>
      <c r="I7" s="34">
        <f>'Dropdown tables - Production'!G5</f>
        <v>0</v>
      </c>
      <c r="J7" s="34" t="str">
        <f>IF(IF(I7=0, "", SUMIFS(Table126[Stocking count 
('# animals)],Table126[Species in production (Latin name) (select)],Table34[[#This Row],[Species in production]]))=0, "0",IF(I7=0, "", SUMIFS(Table126[Stocking count 
('# animals)],Table126[Species in production (Latin name) (select)],Table34[[#This Row],[Species in production]])))</f>
        <v/>
      </c>
      <c r="K7" s="34" t="str">
        <f>IF(IF(I7=0, "", SUMIFS(Table126[Harvest count 
('# animals)],Table126[Species in production (Latin name) (select)],Table34[[#This Row],[Species in production]]))=0, "0",IF(I7=0, "", SUMIFS(Table126[Harvest count 
('# animals)],Table126[Species in production (Latin name) (select)],Table34[[#This Row],[Species in production]])))</f>
        <v/>
      </c>
      <c r="L7" s="34" t="str">
        <f>IF(IF(I7=0, "", SUMIFS(Table126[Standing stock, start yr ('# animals)],Table126[Species in production (Latin name) (select)],Table34[[#This Row],[Species in production]]))=0, "0",IF(I7=0, "", SUMIFS(Table126[Standing stock, start yr ('# animals)],Table126[Species in production (Latin name) (select)],Table34[[#This Row],[Species in production]])))</f>
        <v/>
      </c>
      <c r="M7" s="34" t="str">
        <f>IF(IF(I7=0, "", SUMIFS(Table126[Standing stock, end yr ('# animals)],Table126[Species in production (Latin name) (select)],Table34[[#This Row],[Species in production]]))=0, "0",IF(I7=0, "", SUMIFS(Table126[Standing stock, end yr ('# animals)],Table126[Species in production (Latin name) (select)],Table34[[#This Row],[Species in production]])))</f>
        <v/>
      </c>
      <c r="N7" s="235" t="str">
        <f>IF(I7= 0, "", (SUMIFS(Table225[Mortality count
('# animals)],Table225[Species in production (Latin name) (select)],I7)))</f>
        <v/>
      </c>
      <c r="O7" s="236" t="str">
        <f>IFERROR((Table34[[#This Row],[Mortality count ('# animals)]]/(Table34[[#This Row],[Stocking count 
('# animals)]]+Table34[[#This Row],[ASC certified standing stock, start yr ('# animals)]]))*100, "")</f>
        <v/>
      </c>
      <c r="P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8" spans="3:18" x14ac:dyDescent="0.4">
      <c r="C8" s="27"/>
      <c r="D8" s="28"/>
      <c r="E8" s="30"/>
      <c r="F8" s="30"/>
      <c r="G8" s="231"/>
      <c r="I8" s="34">
        <f>'Dropdown tables - Production'!G6</f>
        <v>0</v>
      </c>
      <c r="J8" s="34" t="str">
        <f>IF(IF(I8=0, "", SUMIFS(Table126[Stocking count 
('# animals)],Table126[Species in production (Latin name) (select)],Table34[[#This Row],[Species in production]]))=0, "0",IF(I8=0, "", SUMIFS(Table126[Stocking count 
('# animals)],Table126[Species in production (Latin name) (select)],Table34[[#This Row],[Species in production]])))</f>
        <v/>
      </c>
      <c r="K8" s="34" t="str">
        <f>IF(IF(I8=0, "", SUMIFS(Table126[Harvest count 
('# animals)],Table126[Species in production (Latin name) (select)],Table34[[#This Row],[Species in production]]))=0, "0",IF(I8=0, "", SUMIFS(Table126[Harvest count 
('# animals)],Table126[Species in production (Latin name) (select)],Table34[[#This Row],[Species in production]])))</f>
        <v/>
      </c>
      <c r="L8" s="34" t="str">
        <f>IF(IF(I8=0, "", SUMIFS(Table126[Standing stock, start yr ('# animals)],Table126[Species in production (Latin name) (select)],Table34[[#This Row],[Species in production]]))=0, "0",IF(I8=0, "", SUMIFS(Table126[Standing stock, start yr ('# animals)],Table126[Species in production (Latin name) (select)],Table34[[#This Row],[Species in production]])))</f>
        <v/>
      </c>
      <c r="M8" s="34" t="str">
        <f>IF(IF(I8=0, "", SUMIFS(Table126[Standing stock, end yr ('# animals)],Table126[Species in production (Latin name) (select)],Table34[[#This Row],[Species in production]]))=0, "0",IF(I8=0, "", SUMIFS(Table126[Standing stock, end yr ('# animals)],Table126[Species in production (Latin name) (select)],Table34[[#This Row],[Species in production]])))</f>
        <v/>
      </c>
      <c r="N8" s="235" t="str">
        <f>IF(I8= 0, "", (SUMIFS(Table225[Mortality count
('# animals)],Table225[Species in production (Latin name) (select)],I8)))</f>
        <v/>
      </c>
      <c r="O8" s="236" t="str">
        <f>IFERROR((Table34[[#This Row],[Mortality count ('# animals)]]/(Table34[[#This Row],[Stocking count 
('# animals)]]+Table34[[#This Row],[ASC certified standing stock, start yr ('# animals)]]))*100, "")</f>
        <v/>
      </c>
      <c r="P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9" spans="3:18" x14ac:dyDescent="0.4">
      <c r="C9" s="27"/>
      <c r="D9" s="28"/>
      <c r="E9" s="30"/>
      <c r="F9" s="30"/>
      <c r="G9" s="231"/>
      <c r="I9" s="34">
        <f>'Dropdown tables - Production'!G7</f>
        <v>0</v>
      </c>
      <c r="J9" s="34" t="str">
        <f>IF(IF(I9=0, "", SUMIFS(Table126[Stocking count 
('# animals)],Table126[Species in production (Latin name) (select)],Table34[[#This Row],[Species in production]]))=0, "0",IF(I9=0, "", SUMIFS(Table126[Stocking count 
('# animals)],Table126[Species in production (Latin name) (select)],Table34[[#This Row],[Species in production]])))</f>
        <v/>
      </c>
      <c r="K9" s="34" t="str">
        <f>IF(IF(I9=0, "", SUMIFS(Table126[Harvest count 
('# animals)],Table126[Species in production (Latin name) (select)],Table34[[#This Row],[Species in production]]))=0, "0",IF(I9=0, "", SUMIFS(Table126[Harvest count 
('# animals)],Table126[Species in production (Latin name) (select)],Table34[[#This Row],[Species in production]])))</f>
        <v/>
      </c>
      <c r="L9" s="34" t="str">
        <f>IF(IF(I9=0, "", SUMIFS(Table126[Standing stock, start yr ('# animals)],Table126[Species in production (Latin name) (select)],Table34[[#This Row],[Species in production]]))=0, "0",IF(I9=0, "", SUMIFS(Table126[Standing stock, start yr ('# animals)],Table126[Species in production (Latin name) (select)],Table34[[#This Row],[Species in production]])))</f>
        <v/>
      </c>
      <c r="M9" s="34" t="str">
        <f>IF(IF(I9=0, "", SUMIFS(Table126[Standing stock, end yr ('# animals)],Table126[Species in production (Latin name) (select)],Table34[[#This Row],[Species in production]]))=0, "0",IF(I9=0, "", SUMIFS(Table126[Standing stock, end yr ('# animals)],Table126[Species in production (Latin name) (select)],Table34[[#This Row],[Species in production]])))</f>
        <v/>
      </c>
      <c r="N9" s="235" t="str">
        <f>IF(I9= 0, "", (SUMIFS(Table225[Mortality count
('# animals)],Table225[Species in production (Latin name) (select)],I9)))</f>
        <v/>
      </c>
      <c r="O9" s="236" t="str">
        <f>IFERROR((Table34[[#This Row],[Mortality count ('# animals)]]/(Table34[[#This Row],[Stocking count 
('# animals)]]+Table34[[#This Row],[ASC certified standing stock, start yr ('# animals)]]))*100, "")</f>
        <v/>
      </c>
      <c r="P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0" spans="3:18" x14ac:dyDescent="0.4">
      <c r="C10" s="27"/>
      <c r="D10" s="28"/>
      <c r="E10" s="30"/>
      <c r="F10" s="30"/>
      <c r="G10" s="231"/>
      <c r="I10" s="34">
        <f>'Dropdown tables - Production'!G8</f>
        <v>0</v>
      </c>
      <c r="J10" s="34" t="str">
        <f>IF(IF(I10=0, "", SUMIFS(Table126[Stocking count 
('# animals)],Table126[Species in production (Latin name) (select)],Table34[[#This Row],[Species in production]]))=0, "0",IF(I10=0, "", SUMIFS(Table126[Stocking count 
('# animals)],Table126[Species in production (Latin name) (select)],Table34[[#This Row],[Species in production]])))</f>
        <v/>
      </c>
      <c r="K10" s="34" t="str">
        <f>IF(IF(I10=0, "", SUMIFS(Table126[Harvest count 
('# animals)],Table126[Species in production (Latin name) (select)],Table34[[#This Row],[Species in production]]))=0, "0",IF(I10=0, "", SUMIFS(Table126[Harvest count 
('# animals)],Table126[Species in production (Latin name) (select)],Table34[[#This Row],[Species in production]])))</f>
        <v/>
      </c>
      <c r="L10" s="34" t="str">
        <f>IF(IF(I10=0, "", SUMIFS(Table126[Standing stock, start yr ('# animals)],Table126[Species in production (Latin name) (select)],Table34[[#This Row],[Species in production]]))=0, "0",IF(I10=0, "", SUMIFS(Table126[Standing stock, start yr ('# animals)],Table126[Species in production (Latin name) (select)],Table34[[#This Row],[Species in production]])))</f>
        <v/>
      </c>
      <c r="M10" s="34" t="str">
        <f>IF(IF(I10=0, "", SUMIFS(Table126[Standing stock, end yr ('# animals)],Table126[Species in production (Latin name) (select)],Table34[[#This Row],[Species in production]]))=0, "0",IF(I10=0, "", SUMIFS(Table126[Standing stock, end yr ('# animals)],Table126[Species in production (Latin name) (select)],Table34[[#This Row],[Species in production]])))</f>
        <v/>
      </c>
      <c r="N10" s="235" t="str">
        <f>IF(I10= 0, "", (SUMIFS(Table225[Mortality count
('# animals)],Table225[Species in production (Latin name) (select)],I10)))</f>
        <v/>
      </c>
      <c r="O10" s="236" t="str">
        <f>IFERROR((Table34[[#This Row],[Mortality count ('# animals)]]/(Table34[[#This Row],[Stocking count 
('# animals)]]+Table34[[#This Row],[ASC certified standing stock, start yr ('# animals)]]))*100, "")</f>
        <v/>
      </c>
      <c r="P1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1" spans="3:18" x14ac:dyDescent="0.4">
      <c r="C11" s="27"/>
      <c r="D11" s="28"/>
      <c r="E11" s="30"/>
      <c r="F11" s="30"/>
      <c r="G11" s="231"/>
      <c r="I11" s="34">
        <f>'Dropdown tables - Production'!G9</f>
        <v>0</v>
      </c>
      <c r="J11" s="34" t="str">
        <f>IF(IF(I11=0, "", SUMIFS(Table126[Stocking count 
('# animals)],Table126[Species in production (Latin name) (select)],Table34[[#This Row],[Species in production]]))=0, "0",IF(I11=0, "", SUMIFS(Table126[Stocking count 
('# animals)],Table126[Species in production (Latin name) (select)],Table34[[#This Row],[Species in production]])))</f>
        <v/>
      </c>
      <c r="K11" s="34" t="str">
        <f>IF(IF(I11=0, "", SUMIFS(Table126[Harvest count 
('# animals)],Table126[Species in production (Latin name) (select)],Table34[[#This Row],[Species in production]]))=0, "0",IF(I11=0, "", SUMIFS(Table126[Harvest count 
('# animals)],Table126[Species in production (Latin name) (select)],Table34[[#This Row],[Species in production]])))</f>
        <v/>
      </c>
      <c r="L11" s="34" t="str">
        <f>IF(IF(I11=0, "", SUMIFS(Table126[Standing stock, start yr ('# animals)],Table126[Species in production (Latin name) (select)],Table34[[#This Row],[Species in production]]))=0, "0",IF(I11=0, "", SUMIFS(Table126[Standing stock, start yr ('# animals)],Table126[Species in production (Latin name) (select)],Table34[[#This Row],[Species in production]])))</f>
        <v/>
      </c>
      <c r="M11" s="34" t="str">
        <f>IF(IF(I11=0, "", SUMIFS(Table126[Standing stock, end yr ('# animals)],Table126[Species in production (Latin name) (select)],Table34[[#This Row],[Species in production]]))=0, "0",IF(I11=0, "", SUMIFS(Table126[Standing stock, end yr ('# animals)],Table126[Species in production (Latin name) (select)],Table34[[#This Row],[Species in production]])))</f>
        <v/>
      </c>
      <c r="N11" s="235" t="str">
        <f>IF(I11= 0, "", (SUMIFS(Table225[Mortality count
('# animals)],Table225[Species in production (Latin name) (select)],I11)))</f>
        <v/>
      </c>
      <c r="O11" s="236" t="str">
        <f>IFERROR((Table34[[#This Row],[Mortality count ('# animals)]]/(Table34[[#This Row],[Stocking count 
('# animals)]]+Table34[[#This Row],[ASC certified standing stock, start yr ('# animals)]]))*100, "")</f>
        <v/>
      </c>
      <c r="P1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2" spans="3:18" x14ac:dyDescent="0.4">
      <c r="C12" s="27"/>
      <c r="D12" s="28"/>
      <c r="E12" s="30"/>
      <c r="F12" s="30"/>
      <c r="G12" s="231"/>
      <c r="I12" s="34">
        <f>'Dropdown tables - Production'!G10</f>
        <v>0</v>
      </c>
      <c r="J12" s="34" t="str">
        <f>IF(IF(I12=0, "", SUMIFS(Table126[Stocking count 
('# animals)],Table126[Species in production (Latin name) (select)],Table34[[#This Row],[Species in production]]))=0, "0",IF(I12=0, "", SUMIFS(Table126[Stocking count 
('# animals)],Table126[Species in production (Latin name) (select)],Table34[[#This Row],[Species in production]])))</f>
        <v/>
      </c>
      <c r="K12" s="34" t="str">
        <f>IF(IF(I12=0, "", SUMIFS(Table126[Harvest count 
('# animals)],Table126[Species in production (Latin name) (select)],Table34[[#This Row],[Species in production]]))=0, "0",IF(I12=0, "", SUMIFS(Table126[Harvest count 
('# animals)],Table126[Species in production (Latin name) (select)],Table34[[#This Row],[Species in production]])))</f>
        <v/>
      </c>
      <c r="L12" s="34" t="str">
        <f>IF(IF(I12=0, "", SUMIFS(Table126[Standing stock, start yr ('# animals)],Table126[Species in production (Latin name) (select)],Table34[[#This Row],[Species in production]]))=0, "0",IF(I12=0, "", SUMIFS(Table126[Standing stock, start yr ('# animals)],Table126[Species in production (Latin name) (select)],Table34[[#This Row],[Species in production]])))</f>
        <v/>
      </c>
      <c r="M12" s="34" t="str">
        <f>IF(IF(I12=0, "", SUMIFS(Table126[Standing stock, end yr ('# animals)],Table126[Species in production (Latin name) (select)],Table34[[#This Row],[Species in production]]))=0, "0",IF(I12=0, "", SUMIFS(Table126[Standing stock, end yr ('# animals)],Table126[Species in production (Latin name) (select)],Table34[[#This Row],[Species in production]])))</f>
        <v/>
      </c>
      <c r="N12" s="235" t="str">
        <f>IF(I12= 0, "", (SUMIFS(Table225[Mortality count
('# animals)],Table225[Species in production (Latin name) (select)],I12)))</f>
        <v/>
      </c>
      <c r="O12" s="236" t="str">
        <f>IFERROR((Table34[[#This Row],[Mortality count ('# animals)]]/(Table34[[#This Row],[Stocking count 
('# animals)]]+Table34[[#This Row],[ASC certified standing stock, start yr ('# animals)]]))*100, "")</f>
        <v/>
      </c>
      <c r="P1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3" spans="3:18" x14ac:dyDescent="0.4">
      <c r="C13" s="27"/>
      <c r="D13" s="28"/>
      <c r="E13" s="30"/>
      <c r="F13" s="30"/>
      <c r="G13" s="231"/>
      <c r="I13" s="34">
        <f>'Dropdown tables - Production'!G11</f>
        <v>0</v>
      </c>
      <c r="J13" s="34" t="str">
        <f>IF(IF(I13=0, "", SUMIFS(Table126[Stocking count 
('# animals)],Table126[Species in production (Latin name) (select)],Table34[[#This Row],[Species in production]]))=0, "0",IF(I13=0, "", SUMIFS(Table126[Stocking count 
('# animals)],Table126[Species in production (Latin name) (select)],Table34[[#This Row],[Species in production]])))</f>
        <v/>
      </c>
      <c r="K13" s="34" t="str">
        <f>IF(IF(I13=0, "", SUMIFS(Table126[Harvest count 
('# animals)],Table126[Species in production (Latin name) (select)],Table34[[#This Row],[Species in production]]))=0, "0",IF(I13=0, "", SUMIFS(Table126[Harvest count 
('# animals)],Table126[Species in production (Latin name) (select)],Table34[[#This Row],[Species in production]])))</f>
        <v/>
      </c>
      <c r="L13" s="34" t="str">
        <f>IF(IF(I13=0, "", SUMIFS(Table126[Standing stock, start yr ('# animals)],Table126[Species in production (Latin name) (select)],Table34[[#This Row],[Species in production]]))=0, "0",IF(I13=0, "", SUMIFS(Table126[Standing stock, start yr ('# animals)],Table126[Species in production (Latin name) (select)],Table34[[#This Row],[Species in production]])))</f>
        <v/>
      </c>
      <c r="M13" s="34" t="str">
        <f>IF(IF(I13=0, "", SUMIFS(Table126[Standing stock, end yr ('# animals)],Table126[Species in production (Latin name) (select)],Table34[[#This Row],[Species in production]]))=0, "0",IF(I13=0, "", SUMIFS(Table126[Standing stock, end yr ('# animals)],Table126[Species in production (Latin name) (select)],Table34[[#This Row],[Species in production]])))</f>
        <v/>
      </c>
      <c r="N13" s="235" t="str">
        <f>IF(I13= 0, "", (SUMIFS(Table225[Mortality count
('# animals)],Table225[Species in production (Latin name) (select)],I13)))</f>
        <v/>
      </c>
      <c r="O13" s="236" t="str">
        <f>IFERROR((Table34[[#This Row],[Mortality count ('# animals)]]/(Table34[[#This Row],[Stocking count 
('# animals)]]+Table34[[#This Row],[ASC certified standing stock, start yr ('# animals)]]))*100, "")</f>
        <v/>
      </c>
      <c r="P1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4" spans="3:18" x14ac:dyDescent="0.4">
      <c r="C14" s="27"/>
      <c r="D14" s="28"/>
      <c r="E14" s="30"/>
      <c r="F14" s="30"/>
      <c r="G14" s="231"/>
      <c r="I14" s="34">
        <f>'Dropdown tables - Production'!G12</f>
        <v>0</v>
      </c>
      <c r="J14" s="34" t="str">
        <f>IF(IF(I14=0, "", SUMIFS(Table126[Stocking count 
('# animals)],Table126[Species in production (Latin name) (select)],Table34[[#This Row],[Species in production]]))=0, "0",IF(I14=0, "", SUMIFS(Table126[Stocking count 
('# animals)],Table126[Species in production (Latin name) (select)],Table34[[#This Row],[Species in production]])))</f>
        <v/>
      </c>
      <c r="K14" s="34" t="str">
        <f>IF(IF(I14=0, "", SUMIFS(Table126[Harvest count 
('# animals)],Table126[Species in production (Latin name) (select)],Table34[[#This Row],[Species in production]]))=0, "0",IF(I14=0, "", SUMIFS(Table126[Harvest count 
('# animals)],Table126[Species in production (Latin name) (select)],Table34[[#This Row],[Species in production]])))</f>
        <v/>
      </c>
      <c r="L14" s="34" t="str">
        <f>IF(IF(I14=0, "", SUMIFS(Table126[Standing stock, start yr ('# animals)],Table126[Species in production (Latin name) (select)],Table34[[#This Row],[Species in production]]))=0, "0",IF(I14=0, "", SUMIFS(Table126[Standing stock, start yr ('# animals)],Table126[Species in production (Latin name) (select)],Table34[[#This Row],[Species in production]])))</f>
        <v/>
      </c>
      <c r="M14" s="34" t="str">
        <f>IF(IF(I14=0, "", SUMIFS(Table126[Standing stock, end yr ('# animals)],Table126[Species in production (Latin name) (select)],Table34[[#This Row],[Species in production]]))=0, "0",IF(I14=0, "", SUMIFS(Table126[Standing stock, end yr ('# animals)],Table126[Species in production (Latin name) (select)],Table34[[#This Row],[Species in production]])))</f>
        <v/>
      </c>
      <c r="N14" s="235" t="str">
        <f>IF(I14= 0, "", (SUMIFS(Table225[Mortality count
('# animals)],Table225[Species in production (Latin name) (select)],I14)))</f>
        <v/>
      </c>
      <c r="O14" s="236" t="str">
        <f>IFERROR((Table34[[#This Row],[Mortality count ('# animals)]]/(Table34[[#This Row],[Stocking count 
('# animals)]]+Table34[[#This Row],[ASC certified standing stock, start yr ('# animals)]]))*100, "")</f>
        <v/>
      </c>
      <c r="P1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5" spans="3:18" x14ac:dyDescent="0.4">
      <c r="C15" s="27"/>
      <c r="D15" s="28"/>
      <c r="E15" s="30"/>
      <c r="F15" s="30"/>
      <c r="G15" s="231"/>
      <c r="I15" s="34">
        <f>'Dropdown tables - Production'!G13</f>
        <v>0</v>
      </c>
      <c r="J15" s="34" t="str">
        <f>IF(IF(I15=0, "", SUMIFS(Table126[Stocking count 
('# animals)],Table126[Species in production (Latin name) (select)],Table34[[#This Row],[Species in production]]))=0, "0",IF(I15=0, "", SUMIFS(Table126[Stocking count 
('# animals)],Table126[Species in production (Latin name) (select)],Table34[[#This Row],[Species in production]])))</f>
        <v/>
      </c>
      <c r="K15" s="34" t="str">
        <f>IF(IF(I15=0, "", SUMIFS(Table126[Harvest count 
('# animals)],Table126[Species in production (Latin name) (select)],Table34[[#This Row],[Species in production]]))=0, "0",IF(I15=0, "", SUMIFS(Table126[Harvest count 
('# animals)],Table126[Species in production (Latin name) (select)],Table34[[#This Row],[Species in production]])))</f>
        <v/>
      </c>
      <c r="L15" s="34" t="str">
        <f>IF(IF(I15=0, "", SUMIFS(Table126[Standing stock, start yr ('# animals)],Table126[Species in production (Latin name) (select)],Table34[[#This Row],[Species in production]]))=0, "0",IF(I15=0, "", SUMIFS(Table126[Standing stock, start yr ('# animals)],Table126[Species in production (Latin name) (select)],Table34[[#This Row],[Species in production]])))</f>
        <v/>
      </c>
      <c r="M15" s="34" t="str">
        <f>IF(IF(I15=0, "", SUMIFS(Table126[Standing stock, end yr ('# animals)],Table126[Species in production (Latin name) (select)],Table34[[#This Row],[Species in production]]))=0, "0",IF(I15=0, "", SUMIFS(Table126[Standing stock, end yr ('# animals)],Table126[Species in production (Latin name) (select)],Table34[[#This Row],[Species in production]])))</f>
        <v/>
      </c>
      <c r="N15" s="235" t="str">
        <f>IF(I15= 0, "", (SUMIFS(Table225[Mortality count
('# animals)],Table225[Species in production (Latin name) (select)],I15)))</f>
        <v/>
      </c>
      <c r="O15" s="236" t="str">
        <f>IFERROR((Table34[[#This Row],[Mortality count ('# animals)]]/(Table34[[#This Row],[Stocking count 
('# animals)]]+Table34[[#This Row],[ASC certified standing stock, start yr ('# animals)]]))*100, "")</f>
        <v/>
      </c>
      <c r="P1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6" spans="3:18" x14ac:dyDescent="0.4">
      <c r="C16" s="27"/>
      <c r="D16" s="28"/>
      <c r="E16" s="30"/>
      <c r="F16" s="30"/>
      <c r="G16" s="231"/>
      <c r="I16" s="34">
        <f>'Dropdown tables - Production'!G14</f>
        <v>0</v>
      </c>
      <c r="J16" s="34" t="str">
        <f>IF(IF(I16=0, "", SUMIFS(Table126[Stocking count 
('# animals)],Table126[Species in production (Latin name) (select)],Table34[[#This Row],[Species in production]]))=0, "0",IF(I16=0, "", SUMIFS(Table126[Stocking count 
('# animals)],Table126[Species in production (Latin name) (select)],Table34[[#This Row],[Species in production]])))</f>
        <v/>
      </c>
      <c r="K16" s="34" t="str">
        <f>IF(IF(I16=0, "", SUMIFS(Table126[Harvest count 
('# animals)],Table126[Species in production (Latin name) (select)],Table34[[#This Row],[Species in production]]))=0, "0",IF(I16=0, "", SUMIFS(Table126[Harvest count 
('# animals)],Table126[Species in production (Latin name) (select)],Table34[[#This Row],[Species in production]])))</f>
        <v/>
      </c>
      <c r="L16" s="34" t="str">
        <f>IF(IF(I16=0, "", SUMIFS(Table126[Standing stock, start yr ('# animals)],Table126[Species in production (Latin name) (select)],Table34[[#This Row],[Species in production]]))=0, "0",IF(I16=0, "", SUMIFS(Table126[Standing stock, start yr ('# animals)],Table126[Species in production (Latin name) (select)],Table34[[#This Row],[Species in production]])))</f>
        <v/>
      </c>
      <c r="M16" s="34" t="str">
        <f>IF(IF(I16=0, "", SUMIFS(Table126[Standing stock, end yr ('# animals)],Table126[Species in production (Latin name) (select)],Table34[[#This Row],[Species in production]]))=0, "0",IF(I16=0, "", SUMIFS(Table126[Standing stock, end yr ('# animals)],Table126[Species in production (Latin name) (select)],Table34[[#This Row],[Species in production]])))</f>
        <v/>
      </c>
      <c r="N16" s="235" t="str">
        <f>IF(I16= 0, "", (SUMIFS(Table225[Mortality count
('# animals)],Table225[Species in production (Latin name) (select)],I16)))</f>
        <v/>
      </c>
      <c r="O16" s="236" t="str">
        <f>IFERROR((Table34[[#This Row],[Mortality count ('# animals)]]/(Table34[[#This Row],[Stocking count 
('# animals)]]+Table34[[#This Row],[ASC certified standing stock, start yr ('# animals)]]))*100, "")</f>
        <v/>
      </c>
      <c r="P1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7" spans="3:16" x14ac:dyDescent="0.4">
      <c r="C17" s="27"/>
      <c r="D17" s="28"/>
      <c r="E17" s="30"/>
      <c r="F17" s="30"/>
      <c r="G17" s="231"/>
      <c r="I17" s="34">
        <f>'Dropdown tables - Production'!G15</f>
        <v>0</v>
      </c>
      <c r="J17" s="34" t="str">
        <f>IF(IF(I17=0, "", SUMIFS(Table126[Stocking count 
('# animals)],Table126[Species in production (Latin name) (select)],Table34[[#This Row],[Species in production]]))=0, "0",IF(I17=0, "", SUMIFS(Table126[Stocking count 
('# animals)],Table126[Species in production (Latin name) (select)],Table34[[#This Row],[Species in production]])))</f>
        <v/>
      </c>
      <c r="K17" s="34" t="str">
        <f>IF(IF(I17=0, "", SUMIFS(Table126[Harvest count 
('# animals)],Table126[Species in production (Latin name) (select)],Table34[[#This Row],[Species in production]]))=0, "0",IF(I17=0, "", SUMIFS(Table126[Harvest count 
('# animals)],Table126[Species in production (Latin name) (select)],Table34[[#This Row],[Species in production]])))</f>
        <v/>
      </c>
      <c r="L17" s="34" t="str">
        <f>IF(IF(I17=0, "", SUMIFS(Table126[Standing stock, start yr ('# animals)],Table126[Species in production (Latin name) (select)],Table34[[#This Row],[Species in production]]))=0, "0",IF(I17=0, "", SUMIFS(Table126[Standing stock, start yr ('# animals)],Table126[Species in production (Latin name) (select)],Table34[[#This Row],[Species in production]])))</f>
        <v/>
      </c>
      <c r="M17" s="34" t="str">
        <f>IF(IF(I17=0, "", SUMIFS(Table126[Standing stock, end yr ('# animals)],Table126[Species in production (Latin name) (select)],Table34[[#This Row],[Species in production]]))=0, "0",IF(I17=0, "", SUMIFS(Table126[Standing stock, end yr ('# animals)],Table126[Species in production (Latin name) (select)],Table34[[#This Row],[Species in production]])))</f>
        <v/>
      </c>
      <c r="N17" s="235" t="str">
        <f>IF(I17= 0, "", (SUMIFS(Table225[Mortality count
('# animals)],Table225[Species in production (Latin name) (select)],I17)))</f>
        <v/>
      </c>
      <c r="O17" s="236" t="str">
        <f>IFERROR((Table34[[#This Row],[Mortality count ('# animals)]]/(Table34[[#This Row],[Stocking count 
('# animals)]]+Table34[[#This Row],[ASC certified standing stock, start yr ('# animals)]]))*100, "")</f>
        <v/>
      </c>
      <c r="P1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8" spans="3:16" x14ac:dyDescent="0.4">
      <c r="C18" s="27"/>
      <c r="D18" s="28"/>
      <c r="E18" s="30"/>
      <c r="F18" s="30"/>
      <c r="G18" s="231"/>
      <c r="I18" s="34">
        <f>'Dropdown tables - Production'!G16</f>
        <v>0</v>
      </c>
      <c r="J18" s="34" t="str">
        <f>IF(IF(I18=0, "", SUMIFS(Table126[Stocking count 
('# animals)],Table126[Species in production (Latin name) (select)],Table34[[#This Row],[Species in production]]))=0, "0",IF(I18=0, "", SUMIFS(Table126[Stocking count 
('# animals)],Table126[Species in production (Latin name) (select)],Table34[[#This Row],[Species in production]])))</f>
        <v/>
      </c>
      <c r="K18" s="34" t="str">
        <f>IF(IF(I18=0, "", SUMIFS(Table126[Harvest count 
('# animals)],Table126[Species in production (Latin name) (select)],Table34[[#This Row],[Species in production]]))=0, "0",IF(I18=0, "", SUMIFS(Table126[Harvest count 
('# animals)],Table126[Species in production (Latin name) (select)],Table34[[#This Row],[Species in production]])))</f>
        <v/>
      </c>
      <c r="L18" s="34" t="str">
        <f>IF(IF(I18=0, "", SUMIFS(Table126[Standing stock, start yr ('# animals)],Table126[Species in production (Latin name) (select)],Table34[[#This Row],[Species in production]]))=0, "0",IF(I18=0, "", SUMIFS(Table126[Standing stock, start yr ('# animals)],Table126[Species in production (Latin name) (select)],Table34[[#This Row],[Species in production]])))</f>
        <v/>
      </c>
      <c r="M18" s="34" t="str">
        <f>IF(IF(I18=0, "", SUMIFS(Table126[Standing stock, end yr ('# animals)],Table126[Species in production (Latin name) (select)],Table34[[#This Row],[Species in production]]))=0, "0",IF(I18=0, "", SUMIFS(Table126[Standing stock, end yr ('# animals)],Table126[Species in production (Latin name) (select)],Table34[[#This Row],[Species in production]])))</f>
        <v/>
      </c>
      <c r="N18" s="235" t="str">
        <f>IF(I18= 0, "", (SUMIFS(Table225[Mortality count
('# animals)],Table225[Species in production (Latin name) (select)],I18)))</f>
        <v/>
      </c>
      <c r="O18" s="236" t="str">
        <f>IFERROR((Table34[[#This Row],[Mortality count ('# animals)]]/(Table34[[#This Row],[Stocking count 
('# animals)]]+Table34[[#This Row],[ASC certified standing stock, start yr ('# animals)]]))*100, "")</f>
        <v/>
      </c>
      <c r="P18"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19" spans="3:16" x14ac:dyDescent="0.4">
      <c r="C19" s="27"/>
      <c r="D19" s="28"/>
      <c r="E19" s="30"/>
      <c r="F19" s="30"/>
      <c r="G19" s="231"/>
      <c r="I19" s="34">
        <f>'Dropdown tables - Production'!G17</f>
        <v>0</v>
      </c>
      <c r="J19" s="34" t="str">
        <f>IF(IF(I19=0, "", SUMIFS(Table126[Stocking count 
('# animals)],Table126[Species in production (Latin name) (select)],Table34[[#This Row],[Species in production]]))=0, "0",IF(I19=0, "", SUMIFS(Table126[Stocking count 
('# animals)],Table126[Species in production (Latin name) (select)],Table34[[#This Row],[Species in production]])))</f>
        <v/>
      </c>
      <c r="K19" s="34" t="str">
        <f>IF(IF(I19=0, "", SUMIFS(Table126[Harvest count 
('# animals)],Table126[Species in production (Latin name) (select)],Table34[[#This Row],[Species in production]]))=0, "0",IF(I19=0, "", SUMIFS(Table126[Harvest count 
('# animals)],Table126[Species in production (Latin name) (select)],Table34[[#This Row],[Species in production]])))</f>
        <v/>
      </c>
      <c r="L19" s="34" t="str">
        <f>IF(IF(I19=0, "", SUMIFS(Table126[Standing stock, start yr ('# animals)],Table126[Species in production (Latin name) (select)],Table34[[#This Row],[Species in production]]))=0, "0",IF(I19=0, "", SUMIFS(Table126[Standing stock, start yr ('# animals)],Table126[Species in production (Latin name) (select)],Table34[[#This Row],[Species in production]])))</f>
        <v/>
      </c>
      <c r="M19" s="34" t="str">
        <f>IF(IF(I19=0, "", SUMIFS(Table126[Standing stock, end yr ('# animals)],Table126[Species in production (Latin name) (select)],Table34[[#This Row],[Species in production]]))=0, "0",IF(I19=0, "", SUMIFS(Table126[Standing stock, end yr ('# animals)],Table126[Species in production (Latin name) (select)],Table34[[#This Row],[Species in production]])))</f>
        <v/>
      </c>
      <c r="N19" s="235" t="str">
        <f>IF(I19= 0, "", (SUMIFS(Table225[Mortality count
('# animals)],Table225[Species in production (Latin name) (select)],I19)))</f>
        <v/>
      </c>
      <c r="O19" s="236" t="str">
        <f>IFERROR((Table34[[#This Row],[Mortality count ('# animals)]]/(Table34[[#This Row],[Stocking count 
('# animals)]]+Table34[[#This Row],[ASC certified standing stock, start yr ('# animals)]]))*100, "")</f>
        <v/>
      </c>
      <c r="P19"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0" spans="3:16" x14ac:dyDescent="0.4">
      <c r="C20" s="27"/>
      <c r="D20" s="28"/>
      <c r="E20" s="30"/>
      <c r="F20" s="30"/>
      <c r="G20" s="231"/>
      <c r="I20" s="34">
        <f>'Dropdown tables - Production'!G18</f>
        <v>0</v>
      </c>
      <c r="J20" s="34" t="str">
        <f>IF(IF(I20=0, "", SUMIFS(Table126[Stocking count 
('# animals)],Table126[Species in production (Latin name) (select)],Table34[[#This Row],[Species in production]]))=0, "0",IF(I20=0, "", SUMIFS(Table126[Stocking count 
('# animals)],Table126[Species in production (Latin name) (select)],Table34[[#This Row],[Species in production]])))</f>
        <v/>
      </c>
      <c r="K20" s="34" t="str">
        <f>IF(IF(I20=0, "", SUMIFS(Table126[Harvest count 
('# animals)],Table126[Species in production (Latin name) (select)],Table34[[#This Row],[Species in production]]))=0, "0",IF(I20=0, "", SUMIFS(Table126[Harvest count 
('# animals)],Table126[Species in production (Latin name) (select)],Table34[[#This Row],[Species in production]])))</f>
        <v/>
      </c>
      <c r="L20" s="34" t="str">
        <f>IF(IF(I20=0, "", SUMIFS(Table126[Standing stock, start yr ('# animals)],Table126[Species in production (Latin name) (select)],Table34[[#This Row],[Species in production]]))=0, "0",IF(I20=0, "", SUMIFS(Table126[Standing stock, start yr ('# animals)],Table126[Species in production (Latin name) (select)],Table34[[#This Row],[Species in production]])))</f>
        <v/>
      </c>
      <c r="M20" s="34" t="str">
        <f>IF(IF(I20=0, "", SUMIFS(Table126[Standing stock, end yr ('# animals)],Table126[Species in production (Latin name) (select)],Table34[[#This Row],[Species in production]]))=0, "0",IF(I20=0, "", SUMIFS(Table126[Standing stock, end yr ('# animals)],Table126[Species in production (Latin name) (select)],Table34[[#This Row],[Species in production]])))</f>
        <v/>
      </c>
      <c r="N20" s="235" t="str">
        <f>IF(I20= 0, "", (SUMIFS(Table225[Mortality count
('# animals)],Table225[Species in production (Latin name) (select)],I20)))</f>
        <v/>
      </c>
      <c r="O20" s="236" t="str">
        <f>IFERROR((Table34[[#This Row],[Mortality count ('# animals)]]/(Table34[[#This Row],[Stocking count 
('# animals)]]+Table34[[#This Row],[ASC certified standing stock, start yr ('# animals)]]))*100, "")</f>
        <v/>
      </c>
      <c r="P20"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1" spans="3:16" x14ac:dyDescent="0.4">
      <c r="C21" s="27"/>
      <c r="D21" s="28"/>
      <c r="E21" s="30"/>
      <c r="F21" s="30"/>
      <c r="G21" s="231"/>
      <c r="I21" s="34">
        <f>'Dropdown tables - Production'!G19</f>
        <v>0</v>
      </c>
      <c r="J21" s="34" t="str">
        <f>IF(IF(I21=0, "", SUMIFS(Table126[Stocking count 
('# animals)],Table126[Species in production (Latin name) (select)],Table34[[#This Row],[Species in production]]))=0, "0",IF(I21=0, "", SUMIFS(Table126[Stocking count 
('# animals)],Table126[Species in production (Latin name) (select)],Table34[[#This Row],[Species in production]])))</f>
        <v/>
      </c>
      <c r="K21" s="34" t="str">
        <f>IF(IF(I21=0, "", SUMIFS(Table126[Harvest count 
('# animals)],Table126[Species in production (Latin name) (select)],Table34[[#This Row],[Species in production]]))=0, "0",IF(I21=0, "", SUMIFS(Table126[Harvest count 
('# animals)],Table126[Species in production (Latin name) (select)],Table34[[#This Row],[Species in production]])))</f>
        <v/>
      </c>
      <c r="L21" s="34" t="str">
        <f>IF(IF(I21=0, "", SUMIFS(Table126[Standing stock, start yr ('# animals)],Table126[Species in production (Latin name) (select)],Table34[[#This Row],[Species in production]]))=0, "0",IF(I21=0, "", SUMIFS(Table126[Standing stock, start yr ('# animals)],Table126[Species in production (Latin name) (select)],Table34[[#This Row],[Species in production]])))</f>
        <v/>
      </c>
      <c r="M21" s="34" t="str">
        <f>IF(IF(I21=0, "", SUMIFS(Table126[Standing stock, end yr ('# animals)],Table126[Species in production (Latin name) (select)],Table34[[#This Row],[Species in production]]))=0, "0",IF(I21=0, "", SUMIFS(Table126[Standing stock, end yr ('# animals)],Table126[Species in production (Latin name) (select)],Table34[[#This Row],[Species in production]])))</f>
        <v/>
      </c>
      <c r="N21" s="235" t="str">
        <f>IF(I21= 0, "", (SUMIFS(Table225[Mortality count
('# animals)],Table225[Species in production (Latin name) (select)],I21)))</f>
        <v/>
      </c>
      <c r="O21" s="236" t="str">
        <f>IFERROR((Table34[[#This Row],[Mortality count ('# animals)]]/(Table34[[#This Row],[Stocking count 
('# animals)]]+Table34[[#This Row],[ASC certified standing stock, start yr ('# animals)]]))*100, "")</f>
        <v/>
      </c>
      <c r="P21"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2" spans="3:16" x14ac:dyDescent="0.4">
      <c r="C22" s="27"/>
      <c r="D22" s="28"/>
      <c r="E22" s="30"/>
      <c r="F22" s="30"/>
      <c r="G22" s="231"/>
      <c r="I22" s="34">
        <f>'Dropdown tables - Production'!G20</f>
        <v>0</v>
      </c>
      <c r="J22" s="34" t="str">
        <f>IF(IF(I22=0, "", SUMIFS(Table126[Stocking count 
('# animals)],Table126[Species in production (Latin name) (select)],Table34[[#This Row],[Species in production]]))=0, "0",IF(I22=0, "", SUMIFS(Table126[Stocking count 
('# animals)],Table126[Species in production (Latin name) (select)],Table34[[#This Row],[Species in production]])))</f>
        <v/>
      </c>
      <c r="K22" s="34" t="str">
        <f>IF(IF(I22=0, "", SUMIFS(Table126[Harvest count 
('# animals)],Table126[Species in production (Latin name) (select)],Table34[[#This Row],[Species in production]]))=0, "0",IF(I22=0, "", SUMIFS(Table126[Harvest count 
('# animals)],Table126[Species in production (Latin name) (select)],Table34[[#This Row],[Species in production]])))</f>
        <v/>
      </c>
      <c r="L22" s="34" t="str">
        <f>IF(IF(I22=0, "", SUMIFS(Table126[Standing stock, start yr ('# animals)],Table126[Species in production (Latin name) (select)],Table34[[#This Row],[Species in production]]))=0, "0",IF(I22=0, "", SUMIFS(Table126[Standing stock, start yr ('# animals)],Table126[Species in production (Latin name) (select)],Table34[[#This Row],[Species in production]])))</f>
        <v/>
      </c>
      <c r="M22" s="34" t="str">
        <f>IF(IF(I22=0, "", SUMIFS(Table126[Standing stock, end yr ('# animals)],Table126[Species in production (Latin name) (select)],Table34[[#This Row],[Species in production]]))=0, "0",IF(I22=0, "", SUMIFS(Table126[Standing stock, end yr ('# animals)],Table126[Species in production (Latin name) (select)],Table34[[#This Row],[Species in production]])))</f>
        <v/>
      </c>
      <c r="N22" s="235" t="str">
        <f>IF(I22= 0, "", (SUMIFS(Table225[Mortality count
('# animals)],Table225[Species in production (Latin name) (select)],I22)))</f>
        <v/>
      </c>
      <c r="O22" s="236" t="str">
        <f>IFERROR((Table34[[#This Row],[Mortality count ('# animals)]]/(Table34[[#This Row],[Stocking count 
('# animals)]]+Table34[[#This Row],[ASC certified standing stock, start yr ('# animals)]]))*100, "")</f>
        <v/>
      </c>
      <c r="P22"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3" spans="3:16" x14ac:dyDescent="0.4">
      <c r="C23" s="27"/>
      <c r="D23" s="28"/>
      <c r="E23" s="30"/>
      <c r="F23" s="30"/>
      <c r="G23" s="231"/>
      <c r="I23" s="34">
        <f>'Dropdown tables - Production'!G21</f>
        <v>0</v>
      </c>
      <c r="J23" s="34" t="str">
        <f>IF(IF(I23=0, "", SUMIFS(Table126[Stocking count 
('# animals)],Table126[Species in production (Latin name) (select)],Table34[[#This Row],[Species in production]]))=0, "0",IF(I23=0, "", SUMIFS(Table126[Stocking count 
('# animals)],Table126[Species in production (Latin name) (select)],Table34[[#This Row],[Species in production]])))</f>
        <v/>
      </c>
      <c r="K23" s="34" t="str">
        <f>IF(IF(I23=0, "", SUMIFS(Table126[Harvest count 
('# animals)],Table126[Species in production (Latin name) (select)],Table34[[#This Row],[Species in production]]))=0, "0",IF(I23=0, "", SUMIFS(Table126[Harvest count 
('# animals)],Table126[Species in production (Latin name) (select)],Table34[[#This Row],[Species in production]])))</f>
        <v/>
      </c>
      <c r="L23" s="34" t="str">
        <f>IF(IF(I23=0, "", SUMIFS(Table126[Standing stock, start yr ('# animals)],Table126[Species in production (Latin name) (select)],Table34[[#This Row],[Species in production]]))=0, "0",IF(I23=0, "", SUMIFS(Table126[Standing stock, start yr ('# animals)],Table126[Species in production (Latin name) (select)],Table34[[#This Row],[Species in production]])))</f>
        <v/>
      </c>
      <c r="M23" s="34" t="str">
        <f>IF(IF(I23=0, "", SUMIFS(Table126[Standing stock, end yr ('# animals)],Table126[Species in production (Latin name) (select)],Table34[[#This Row],[Species in production]]))=0, "0",IF(I23=0, "", SUMIFS(Table126[Standing stock, end yr ('# animals)],Table126[Species in production (Latin name) (select)],Table34[[#This Row],[Species in production]])))</f>
        <v/>
      </c>
      <c r="N23" s="235" t="str">
        <f>IF(I23= 0, "", (SUMIFS(Table225[Mortality count
('# animals)],Table225[Species in production (Latin name) (select)],I23)))</f>
        <v/>
      </c>
      <c r="O23" s="236" t="str">
        <f>IFERROR((Table34[[#This Row],[Mortality count ('# animals)]]/(Table34[[#This Row],[Stocking count 
('# animals)]]+Table34[[#This Row],[ASC certified standing stock, start yr ('# animals)]]))*100, "")</f>
        <v/>
      </c>
      <c r="P23"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4" spans="3:16" x14ac:dyDescent="0.4">
      <c r="C24" s="27"/>
      <c r="D24" s="28"/>
      <c r="E24" s="30"/>
      <c r="F24" s="30"/>
      <c r="G24" s="231"/>
      <c r="I24" s="34">
        <f>'Dropdown tables - Production'!G22</f>
        <v>0</v>
      </c>
      <c r="J24" s="34" t="str">
        <f>IF(IF(I24=0, "", SUMIFS(Table126[Stocking count 
('# animals)],Table126[Species in production (Latin name) (select)],Table34[[#This Row],[Species in production]]))=0, "0",IF(I24=0, "", SUMIFS(Table126[Stocking count 
('# animals)],Table126[Species in production (Latin name) (select)],Table34[[#This Row],[Species in production]])))</f>
        <v/>
      </c>
      <c r="K24" s="34" t="str">
        <f>IF(IF(I24=0, "", SUMIFS(Table126[Harvest count 
('# animals)],Table126[Species in production (Latin name) (select)],Table34[[#This Row],[Species in production]]))=0, "0",IF(I24=0, "", SUMIFS(Table126[Harvest count 
('# animals)],Table126[Species in production (Latin name) (select)],Table34[[#This Row],[Species in production]])))</f>
        <v/>
      </c>
      <c r="L24" s="34" t="str">
        <f>IF(IF(I24=0, "", SUMIFS(Table126[Standing stock, start yr ('# animals)],Table126[Species in production (Latin name) (select)],Table34[[#This Row],[Species in production]]))=0, "0",IF(I24=0, "", SUMIFS(Table126[Standing stock, start yr ('# animals)],Table126[Species in production (Latin name) (select)],Table34[[#This Row],[Species in production]])))</f>
        <v/>
      </c>
      <c r="M24" s="34" t="str">
        <f>IF(IF(I24=0, "", SUMIFS(Table126[Standing stock, end yr ('# animals)],Table126[Species in production (Latin name) (select)],Table34[[#This Row],[Species in production]]))=0, "0",IF(I24=0, "", SUMIFS(Table126[Standing stock, end yr ('# animals)],Table126[Species in production (Latin name) (select)],Table34[[#This Row],[Species in production]])))</f>
        <v/>
      </c>
      <c r="N24" s="235" t="str">
        <f>IF(I24= 0, "", (SUMIFS(Table225[Mortality count
('# animals)],Table225[Species in production (Latin name) (select)],I24)))</f>
        <v/>
      </c>
      <c r="O24" s="236" t="str">
        <f>IFERROR((Table34[[#This Row],[Mortality count ('# animals)]]/(Table34[[#This Row],[Stocking count 
('# animals)]]+Table34[[#This Row],[ASC certified standing stock, start yr ('# animals)]]))*100, "")</f>
        <v/>
      </c>
      <c r="P24"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5" spans="3:16" x14ac:dyDescent="0.4">
      <c r="C25" s="27"/>
      <c r="D25" s="28"/>
      <c r="E25" s="30"/>
      <c r="F25" s="30"/>
      <c r="G25" s="231"/>
      <c r="I25" s="34">
        <f>'Dropdown tables - Production'!G23</f>
        <v>0</v>
      </c>
      <c r="J25" s="34" t="str">
        <f>IF(IF(I25=0, "", SUMIFS(Table126[Stocking count 
('# animals)],Table126[Species in production (Latin name) (select)],Table34[[#This Row],[Species in production]]))=0, "0",IF(I25=0, "", SUMIFS(Table126[Stocking count 
('# animals)],Table126[Species in production (Latin name) (select)],Table34[[#This Row],[Species in production]])))</f>
        <v/>
      </c>
      <c r="K25" s="34" t="str">
        <f>IF(IF(I25=0, "", SUMIFS(Table126[Harvest count 
('# animals)],Table126[Species in production (Latin name) (select)],Table34[[#This Row],[Species in production]]))=0, "0",IF(I25=0, "", SUMIFS(Table126[Harvest count 
('# animals)],Table126[Species in production (Latin name) (select)],Table34[[#This Row],[Species in production]])))</f>
        <v/>
      </c>
      <c r="L25" s="34" t="str">
        <f>IF(IF(I25=0, "", SUMIFS(Table126[Standing stock, start yr ('# animals)],Table126[Species in production (Latin name) (select)],Table34[[#This Row],[Species in production]]))=0, "0",IF(I25=0, "", SUMIFS(Table126[Standing stock, start yr ('# animals)],Table126[Species in production (Latin name) (select)],Table34[[#This Row],[Species in production]])))</f>
        <v/>
      </c>
      <c r="M25" s="34" t="str">
        <f>IF(IF(I25=0, "", SUMIFS(Table126[Standing stock, end yr ('# animals)],Table126[Species in production (Latin name) (select)],Table34[[#This Row],[Species in production]]))=0, "0",IF(I25=0, "", SUMIFS(Table126[Standing stock, end yr ('# animals)],Table126[Species in production (Latin name) (select)],Table34[[#This Row],[Species in production]])))</f>
        <v/>
      </c>
      <c r="N25" s="235" t="str">
        <f>IF(I25= 0, "", (SUMIFS(Table225[Mortality count
('# animals)],Table225[Species in production (Latin name) (select)],I25)))</f>
        <v/>
      </c>
      <c r="O25" s="236" t="str">
        <f>IFERROR((Table34[[#This Row],[Mortality count ('# animals)]]/(Table34[[#This Row],[Stocking count 
('# animals)]]+Table34[[#This Row],[ASC certified standing stock, start yr ('# animals)]]))*100, "")</f>
        <v/>
      </c>
      <c r="P25"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6" spans="3:16" x14ac:dyDescent="0.4">
      <c r="C26" s="27"/>
      <c r="D26" s="28"/>
      <c r="E26" s="30"/>
      <c r="F26" s="30"/>
      <c r="G26" s="231"/>
      <c r="I26" s="34">
        <f>'Dropdown tables - Production'!G24</f>
        <v>0</v>
      </c>
      <c r="J26" s="34" t="str">
        <f>IF(IF(I26=0, "", SUMIFS(Table126[Stocking count 
('# animals)],Table126[Species in production (Latin name) (select)],Table34[[#This Row],[Species in production]]))=0, "0",IF(I26=0, "", SUMIFS(Table126[Stocking count 
('# animals)],Table126[Species in production (Latin name) (select)],Table34[[#This Row],[Species in production]])))</f>
        <v/>
      </c>
      <c r="K26" s="34" t="str">
        <f>IF(IF(I26=0, "", SUMIFS(Table126[Harvest count 
('# animals)],Table126[Species in production (Latin name) (select)],Table34[[#This Row],[Species in production]]))=0, "0",IF(I26=0, "", SUMIFS(Table126[Harvest count 
('# animals)],Table126[Species in production (Latin name) (select)],Table34[[#This Row],[Species in production]])))</f>
        <v/>
      </c>
      <c r="L26" s="34" t="str">
        <f>IF(IF(I26=0, "", SUMIFS(Table126[Standing stock, start yr ('# animals)],Table126[Species in production (Latin name) (select)],Table34[[#This Row],[Species in production]]))=0, "0",IF(I26=0, "", SUMIFS(Table126[Standing stock, start yr ('# animals)],Table126[Species in production (Latin name) (select)],Table34[[#This Row],[Species in production]])))</f>
        <v/>
      </c>
      <c r="M26" s="34" t="str">
        <f>IF(IF(I26=0, "", SUMIFS(Table126[Standing stock, end yr ('# animals)],Table126[Species in production (Latin name) (select)],Table34[[#This Row],[Species in production]]))=0, "0",IF(I26=0, "", SUMIFS(Table126[Standing stock, end yr ('# animals)],Table126[Species in production (Latin name) (select)],Table34[[#This Row],[Species in production]])))</f>
        <v/>
      </c>
      <c r="N26" s="235" t="str">
        <f>IF(I26= 0, "", (SUMIFS(Table225[Mortality count
('# animals)],Table225[Species in production (Latin name) (select)],I26)))</f>
        <v/>
      </c>
      <c r="O26" s="236" t="str">
        <f>IFERROR((Table34[[#This Row],[Mortality count ('# animals)]]/(Table34[[#This Row],[Stocking count 
('# animals)]]+Table34[[#This Row],[ASC certified standing stock, start yr ('# animals)]]))*100, "")</f>
        <v/>
      </c>
      <c r="P26"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7" spans="3:16" x14ac:dyDescent="0.4">
      <c r="C27" s="27"/>
      <c r="D27" s="28"/>
      <c r="E27" s="30"/>
      <c r="F27" s="30"/>
      <c r="G27" s="231"/>
      <c r="I27" s="34">
        <f>'Dropdown tables - Production'!G25</f>
        <v>0</v>
      </c>
      <c r="J27" s="34" t="str">
        <f>IF(IF(I27=0, "", SUMIFS(Table126[Stocking count 
('# animals)],Table126[Species in production (Latin name) (select)],Table34[[#This Row],[Species in production]]))=0, "0",IF(I27=0, "", SUMIFS(Table126[Stocking count 
('# animals)],Table126[Species in production (Latin name) (select)],Table34[[#This Row],[Species in production]])))</f>
        <v/>
      </c>
      <c r="K27" s="34" t="str">
        <f>IF(IF(I27=0, "", SUMIFS(Table126[Harvest count 
('# animals)],Table126[Species in production (Latin name) (select)],Table34[[#This Row],[Species in production]]))=0, "0",IF(I27=0, "", SUMIFS(Table126[Harvest count 
('# animals)],Table126[Species in production (Latin name) (select)],Table34[[#This Row],[Species in production]])))</f>
        <v/>
      </c>
      <c r="L27" s="34" t="str">
        <f>IF(IF(I27=0, "", SUMIFS(Table126[Standing stock, start yr ('# animals)],Table126[Species in production (Latin name) (select)],Table34[[#This Row],[Species in production]]))=0, "0",IF(I27=0, "", SUMIFS(Table126[Standing stock, start yr ('# animals)],Table126[Species in production (Latin name) (select)],Table34[[#This Row],[Species in production]])))</f>
        <v/>
      </c>
      <c r="M27" s="34" t="str">
        <f>IF(IF(I27=0, "", SUMIFS(Table126[Standing stock, end yr ('# animals)],Table126[Species in production (Latin name) (select)],Table34[[#This Row],[Species in production]]))=0, "0",IF(I27=0, "", SUMIFS(Table126[Standing stock, end yr ('# animals)],Table126[Species in production (Latin name) (select)],Table34[[#This Row],[Species in production]])))</f>
        <v/>
      </c>
      <c r="N27" s="235" t="str">
        <f>IF(I27= 0, "", (SUMIFS(Table225[Mortality count
('# animals)],Table225[Species in production (Latin name) (select)],I27)))</f>
        <v/>
      </c>
      <c r="O27" s="236" t="str">
        <f>IFERROR((Table34[[#This Row],[Mortality count ('# animals)]]/(Table34[[#This Row],[Stocking count 
('# animals)]]+Table34[[#This Row],[ASC certified standing stock, start yr ('# animals)]]))*100, "")</f>
        <v/>
      </c>
      <c r="P27" s="236" t="str">
        <f>IFERROR(((Table34[[#This Row],[Stocking count 
('# animals)]]+Table34[[#This Row],[ASC certified standing stock, start yr ('# animals)]]-Table34[[#This Row],[Harvest count ('# animals)]]-Table34[[#This Row],[ASC certified standing stock, end yr ('# animals)]])/(Table34[[#This Row],[Stocking count 
('# animals)]]+Table34[[#This Row],[ASC certified standing stock, start yr ('# animals)]]))*100, "")</f>
        <v/>
      </c>
    </row>
    <row r="28" spans="3:16" x14ac:dyDescent="0.4">
      <c r="C28" s="27"/>
      <c r="D28" s="28"/>
      <c r="E28" s="30"/>
      <c r="F28" s="30"/>
      <c r="G28" s="231"/>
    </row>
    <row r="29" spans="3:16" x14ac:dyDescent="0.4">
      <c r="C29" s="27"/>
      <c r="D29" s="28"/>
      <c r="E29" s="30"/>
      <c r="F29" s="30"/>
      <c r="G29" s="231"/>
      <c r="O29" s="234"/>
      <c r="P29" s="234"/>
    </row>
    <row r="30" spans="3:16" x14ac:dyDescent="0.4">
      <c r="C30" s="27"/>
      <c r="D30" s="28"/>
      <c r="E30" s="30"/>
      <c r="F30" s="30"/>
      <c r="G30" s="231"/>
      <c r="J30" s="19"/>
      <c r="K30" s="19"/>
      <c r="L30" s="19"/>
      <c r="M30" s="19"/>
    </row>
    <row r="31" spans="3:16" x14ac:dyDescent="0.4">
      <c r="C31" s="27"/>
      <c r="D31" s="28"/>
      <c r="E31" s="30"/>
      <c r="F31" s="30"/>
      <c r="G31" s="231"/>
      <c r="J31" s="19"/>
      <c r="K31" s="19"/>
      <c r="L31" s="19"/>
      <c r="M31" s="19"/>
    </row>
    <row r="32" spans="3:16" x14ac:dyDescent="0.4">
      <c r="C32" s="27"/>
      <c r="D32" s="28"/>
      <c r="E32" s="30"/>
      <c r="F32" s="30"/>
      <c r="G32" s="231"/>
      <c r="J32" s="19"/>
      <c r="K32" s="19"/>
      <c r="L32" s="19"/>
      <c r="M32" s="19"/>
    </row>
    <row r="33" spans="3:13" x14ac:dyDescent="0.4">
      <c r="C33" s="27"/>
      <c r="D33" s="28"/>
      <c r="E33" s="30"/>
      <c r="F33" s="30"/>
      <c r="G33" s="231"/>
      <c r="J33" s="19"/>
      <c r="K33" s="19"/>
      <c r="L33" s="19"/>
      <c r="M33" s="19"/>
    </row>
    <row r="34" spans="3:13" x14ac:dyDescent="0.4">
      <c r="C34" s="27"/>
      <c r="D34" s="28"/>
      <c r="E34" s="30"/>
      <c r="F34" s="30"/>
      <c r="G34" s="231"/>
      <c r="J34" s="19"/>
      <c r="K34" s="19"/>
      <c r="L34" s="19"/>
      <c r="M34" s="19"/>
    </row>
    <row r="35" spans="3:13" x14ac:dyDescent="0.4">
      <c r="C35" s="27"/>
      <c r="D35" s="28"/>
      <c r="E35" s="30"/>
      <c r="F35" s="30"/>
      <c r="G35" s="231"/>
      <c r="J35" s="19"/>
      <c r="K35" s="19"/>
      <c r="L35" s="19"/>
      <c r="M35" s="19"/>
    </row>
    <row r="36" spans="3:13" x14ac:dyDescent="0.4">
      <c r="C36" s="27"/>
      <c r="D36" s="28"/>
      <c r="E36" s="30"/>
      <c r="F36" s="30"/>
      <c r="G36" s="231"/>
      <c r="J36" s="19"/>
      <c r="K36" s="19"/>
      <c r="L36" s="19"/>
      <c r="M36" s="19"/>
    </row>
    <row r="37" spans="3:13" x14ac:dyDescent="0.4">
      <c r="C37" s="27"/>
      <c r="D37" s="28"/>
      <c r="E37" s="30"/>
      <c r="F37" s="30"/>
      <c r="G37" s="231"/>
      <c r="J37" s="19"/>
      <c r="K37" s="19"/>
      <c r="L37" s="19"/>
      <c r="M37" s="19"/>
    </row>
    <row r="38" spans="3:13" x14ac:dyDescent="0.4">
      <c r="C38" s="27"/>
      <c r="D38" s="28"/>
      <c r="E38" s="30"/>
      <c r="F38" s="30"/>
      <c r="G38" s="231"/>
      <c r="J38" s="19"/>
      <c r="K38" s="19"/>
      <c r="L38" s="19"/>
      <c r="M38" s="19"/>
    </row>
    <row r="39" spans="3:13" x14ac:dyDescent="0.4">
      <c r="C39" s="27"/>
      <c r="D39" s="28"/>
      <c r="E39" s="30"/>
      <c r="F39" s="30"/>
      <c r="G39" s="231"/>
      <c r="J39" s="19"/>
      <c r="K39" s="19"/>
      <c r="L39" s="19"/>
      <c r="M39" s="19"/>
    </row>
    <row r="40" spans="3:13" x14ac:dyDescent="0.4">
      <c r="C40" s="27"/>
      <c r="D40" s="28"/>
      <c r="E40" s="30"/>
      <c r="F40" s="30"/>
      <c r="G40" s="231"/>
      <c r="J40" s="19"/>
      <c r="K40" s="19"/>
      <c r="L40" s="19"/>
      <c r="M40" s="19"/>
    </row>
    <row r="41" spans="3:13" x14ac:dyDescent="0.4">
      <c r="J41" s="19"/>
      <c r="K41" s="19"/>
      <c r="L41" s="19"/>
      <c r="M41" s="19"/>
    </row>
    <row r="42" spans="3:13" x14ac:dyDescent="0.4">
      <c r="J42" s="19"/>
      <c r="K42" s="19"/>
      <c r="L42" s="19"/>
      <c r="M42" s="19"/>
    </row>
  </sheetData>
  <sheetProtection algorithmName="SHA-512" hashValue="9Sm8kcewWI7+D1kX4OelgqPX2nGjcQCwhXHwCw8zmByDKgJwhujnQSuEVLgdRj89K7bfipGDtCzY5aghDOiXdA==" saltValue="S1OAYR3rRbSufoDId8t5UA==" spinCount="100000" sheet="1" objects="1" scenarios="1"/>
  <phoneticPr fontId="6" type="noConversion"/>
  <dataValidations count="1">
    <dataValidation type="whole" operator="greaterThanOrEqual" allowBlank="1" showInputMessage="1" showErrorMessage="1" sqref="E5:E40" xr:uid="{760658FF-4963-42F0-B717-814A3145A745}">
      <formula1>0</formula1>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99321BDA-7A0A-4D85-A19D-B87C1C53C7AC}">
          <x14:formula1>
            <xm:f>'Dropdown tables - Production'!$C$2:$C$77</xm:f>
          </x14:formula1>
          <xm:sqref>C5:C40</xm:sqref>
        </x14:dataValidation>
        <x14:dataValidation type="list" allowBlank="1" showInputMessage="1" showErrorMessage="1" xr:uid="{A83B50DD-EFDB-4427-8576-2600FF9D5DFE}">
          <x14:formula1>
            <xm:f>'Dropdown tables - Production'!$D$2:$D$77</xm:f>
          </x14:formula1>
          <xm:sqref>D5:D40</xm:sqref>
        </x14:dataValidation>
        <x14:dataValidation type="list" allowBlank="1" showInputMessage="1" xr:uid="{1C9CEEE2-0A98-43DB-9D22-75E86AEA5D40}">
          <x14:formula1>
            <xm:f>'Dropdown tables - Production'!$O$2:$O$13</xm:f>
          </x14:formula1>
          <xm:sqref>F5:F40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4DAA7-A16D-48F7-96C7-398F6C2B2308}">
  <sheetPr codeName="Sheet30">
    <tabColor theme="9" tint="0.59999389629810485"/>
  </sheetPr>
  <dimension ref="B2:Q114"/>
  <sheetViews>
    <sheetView zoomScale="80" zoomScaleNormal="80" workbookViewId="0"/>
  </sheetViews>
  <sheetFormatPr defaultColWidth="9" defaultRowHeight="16.8" x14ac:dyDescent="0.4"/>
  <cols>
    <col min="1" max="1" width="9" style="14"/>
    <col min="2" max="2" width="9" style="14" hidden="1" customWidth="1"/>
    <col min="3" max="3" width="25.21875" style="14" bestFit="1" customWidth="1"/>
    <col min="4" max="4" width="10.44140625" style="14" bestFit="1" customWidth="1"/>
    <col min="5" max="5" width="26.44140625" style="14" bestFit="1" customWidth="1"/>
    <col min="6" max="6" width="25.21875" style="14" bestFit="1" customWidth="1"/>
    <col min="7" max="7" width="20.77734375" style="14" bestFit="1" customWidth="1"/>
    <col min="8" max="8" width="17" style="14" bestFit="1" customWidth="1"/>
    <col min="9" max="9" width="21.77734375" style="14" bestFit="1" customWidth="1"/>
    <col min="10" max="10" width="16" style="14" bestFit="1" customWidth="1"/>
    <col min="11" max="11" width="22.44140625" style="14" bestFit="1" customWidth="1"/>
    <col min="12" max="12" width="20.77734375" style="14" bestFit="1" customWidth="1"/>
    <col min="13" max="13" width="17.21875" style="14" customWidth="1"/>
    <col min="14" max="14" width="9" style="14"/>
    <col min="15" max="15" width="24.33203125" style="14" customWidth="1"/>
    <col min="16" max="16" width="32" style="14" customWidth="1"/>
    <col min="17" max="17" width="19.5546875" style="14" customWidth="1"/>
    <col min="18" max="16384" width="9" style="14"/>
  </cols>
  <sheetData>
    <row r="2" spans="3:17" x14ac:dyDescent="0.4">
      <c r="C2" s="17" t="s">
        <v>218</v>
      </c>
      <c r="O2" s="17" t="s">
        <v>1918</v>
      </c>
    </row>
    <row r="3" spans="3:17" ht="20.55" hidden="1" customHeight="1" x14ac:dyDescent="0.4">
      <c r="C3" s="14">
        <v>13.1</v>
      </c>
      <c r="D3" s="14">
        <v>13.2</v>
      </c>
      <c r="E3" s="14">
        <v>13.3</v>
      </c>
      <c r="F3" s="14">
        <v>13.4</v>
      </c>
      <c r="G3" s="14">
        <v>13.5</v>
      </c>
      <c r="H3" s="14">
        <v>13.6</v>
      </c>
      <c r="I3" s="14">
        <v>13.7</v>
      </c>
      <c r="J3" s="14">
        <v>13.8</v>
      </c>
      <c r="K3" s="14">
        <v>13.9</v>
      </c>
      <c r="L3" s="14">
        <v>13.11</v>
      </c>
      <c r="M3" s="14">
        <v>13.12</v>
      </c>
      <c r="O3" s="14">
        <v>13.13</v>
      </c>
      <c r="P3" s="14">
        <v>13.14</v>
      </c>
      <c r="Q3" s="14">
        <v>13.15</v>
      </c>
    </row>
    <row r="4" spans="3:17" s="23" customFormat="1" ht="46.5" customHeight="1" thickBot="1" x14ac:dyDescent="0.45">
      <c r="C4" s="22" t="s">
        <v>42</v>
      </c>
      <c r="D4" s="25" t="s">
        <v>209</v>
      </c>
      <c r="E4" s="22" t="s">
        <v>219</v>
      </c>
      <c r="F4" s="22" t="s">
        <v>220</v>
      </c>
      <c r="G4" s="22" t="s">
        <v>221</v>
      </c>
      <c r="H4" s="22" t="s">
        <v>222</v>
      </c>
      <c r="I4" s="22" t="s">
        <v>223</v>
      </c>
      <c r="J4" s="22" t="s">
        <v>224</v>
      </c>
      <c r="K4" s="22" t="s">
        <v>225</v>
      </c>
      <c r="L4" s="100" t="s">
        <v>226</v>
      </c>
      <c r="M4" s="35" t="s">
        <v>52</v>
      </c>
      <c r="N4" s="14"/>
      <c r="O4" s="58" t="s">
        <v>68</v>
      </c>
      <c r="P4" s="106" t="s">
        <v>51</v>
      </c>
      <c r="Q4" s="106" t="s">
        <v>227</v>
      </c>
    </row>
    <row r="5" spans="3:17" ht="17.399999999999999" thickTop="1" x14ac:dyDescent="0.4">
      <c r="C5" s="30"/>
      <c r="D5" s="231"/>
      <c r="E5" s="150"/>
      <c r="F5" s="150"/>
      <c r="G5" s="30"/>
      <c r="H5" s="30"/>
      <c r="I5" s="30"/>
      <c r="J5" s="30"/>
      <c r="K5" s="30"/>
      <c r="L5" s="29"/>
      <c r="M5" s="231"/>
      <c r="N5" s="38"/>
      <c r="O5" s="321" t="str">
        <f>IF('Dropdown tables - Production'!G3 = 0, "", 'Dropdown tables - Production'!G3)</f>
        <v/>
      </c>
      <c r="P5" s="322" t="str">
        <f>IF(Table15[[#This Row],[Species in production]] = "", "", SUMIFS(Table126[ASC certified net production volume (tonnes)],Table126[Species in production (Latin name) (select)],Table15[[#This Row],[Species in production]]))</f>
        <v/>
      </c>
      <c r="Q5" s="322" t="str">
        <f>IFERROR((SUMIFS(Table4[Amount of active component (kg)],Table4[Species in production (Latin name) (select)],Table15[[#This Row],[Species in production]],Table4[Type of treatment (select)], "Antibiotic")/Table126[[#This Row],[ASC certified net production volume (tonnes)]]), "")</f>
        <v/>
      </c>
    </row>
    <row r="6" spans="3:17" x14ac:dyDescent="0.4">
      <c r="C6" s="30"/>
      <c r="D6" s="231"/>
      <c r="E6" s="150"/>
      <c r="F6" s="150"/>
      <c r="G6" s="30"/>
      <c r="H6" s="30"/>
      <c r="I6" s="30"/>
      <c r="J6" s="30"/>
      <c r="K6" s="30"/>
      <c r="L6" s="29"/>
      <c r="M6" s="231"/>
      <c r="N6" s="38"/>
      <c r="O6" s="323" t="str">
        <f>IF('Dropdown tables - Production'!G4 = 0, "", 'Dropdown tables - Production'!G4)</f>
        <v/>
      </c>
      <c r="P6" s="324" t="str">
        <f>IF(Table15[[#This Row],[Species in production]] = "", "", SUMIFS(Table126[ASC certified net production volume (tonnes)],Table126[Species in production (Latin name) (select)],Table15[[#This Row],[Species in production]]))</f>
        <v/>
      </c>
      <c r="Q6" s="324" t="str">
        <f>IFERROR((SUMIFS(Table4[Amount of active component (kg)],Table4[Species in production (Latin name) (select)],Table15[[#This Row],[Species in production]],Table4[Type of treatment (select)], "Antibiotic")/Table126[[#This Row],[ASC certified net production volume (tonnes)]]), "")</f>
        <v/>
      </c>
    </row>
    <row r="7" spans="3:17" x14ac:dyDescent="0.4">
      <c r="C7" s="30"/>
      <c r="D7" s="231"/>
      <c r="E7" s="150"/>
      <c r="F7" s="150"/>
      <c r="G7" s="30"/>
      <c r="H7" s="30"/>
      <c r="I7" s="30"/>
      <c r="J7" s="30"/>
      <c r="K7" s="30"/>
      <c r="L7" s="29"/>
      <c r="M7" s="231"/>
      <c r="N7" s="38"/>
      <c r="O7" s="323" t="str">
        <f>IF('Dropdown tables - Production'!G5 = 0, "", 'Dropdown tables - Production'!G5)</f>
        <v/>
      </c>
      <c r="P7" s="324" t="str">
        <f>IF(Table15[[#This Row],[Species in production]] = "", "", SUMIFS(Table126[ASC certified net production volume (tonnes)],Table126[Species in production (Latin name) (select)],Table15[[#This Row],[Species in production]]))</f>
        <v/>
      </c>
      <c r="Q7" s="324" t="str">
        <f>IFERROR((SUMIFS(Table4[Amount of active component (kg)],Table4[Species in production (Latin name) (select)],Table15[[#This Row],[Species in production]],Table4[Type of treatment (select)], "Antibiotic")/Table126[[#This Row],[ASC certified net production volume (tonnes)]]), "")</f>
        <v/>
      </c>
    </row>
    <row r="8" spans="3:17" x14ac:dyDescent="0.4">
      <c r="C8" s="30"/>
      <c r="D8" s="231"/>
      <c r="E8" s="150"/>
      <c r="F8" s="150"/>
      <c r="G8" s="30"/>
      <c r="H8" s="30"/>
      <c r="I8" s="30"/>
      <c r="J8" s="30"/>
      <c r="K8" s="30"/>
      <c r="L8" s="29"/>
      <c r="M8" s="231"/>
      <c r="N8" s="38"/>
      <c r="O8" s="323" t="str">
        <f>IF('Dropdown tables - Production'!G6 = 0, "", 'Dropdown tables - Production'!G6)</f>
        <v/>
      </c>
      <c r="P8" s="324" t="str">
        <f>IF(Table15[[#This Row],[Species in production]] = "", "", SUMIFS(Table126[ASC certified net production volume (tonnes)],Table126[Species in production (Latin name) (select)],Table15[[#This Row],[Species in production]]))</f>
        <v/>
      </c>
      <c r="Q8" s="324" t="str">
        <f>IFERROR((SUMIFS(Table4[Amount of active component (kg)],Table4[Species in production (Latin name) (select)],Table15[[#This Row],[Species in production]],Table4[Type of treatment (select)], "Antibiotic")/Table126[[#This Row],[ASC certified net production volume (tonnes)]]), "")</f>
        <v/>
      </c>
    </row>
    <row r="9" spans="3:17" x14ac:dyDescent="0.4">
      <c r="C9" s="30"/>
      <c r="D9" s="231"/>
      <c r="E9" s="150"/>
      <c r="F9" s="150"/>
      <c r="G9" s="30"/>
      <c r="H9" s="30"/>
      <c r="I9" s="30"/>
      <c r="J9" s="30"/>
      <c r="K9" s="30"/>
      <c r="L9" s="29"/>
      <c r="M9" s="231"/>
      <c r="N9" s="38"/>
      <c r="O9" s="323" t="str">
        <f>IF('Dropdown tables - Production'!G7 = 0, "", 'Dropdown tables - Production'!G7)</f>
        <v/>
      </c>
      <c r="P9" s="324" t="str">
        <f>IF(Table15[[#This Row],[Species in production]] = "", "", SUMIFS(Table126[ASC certified net production volume (tonnes)],Table126[Species in production (Latin name) (select)],Table15[[#This Row],[Species in production]]))</f>
        <v/>
      </c>
      <c r="Q9" s="324" t="str">
        <f>IFERROR((SUMIFS(Table4[Amount of active component (kg)],Table4[Species in production (Latin name) (select)],Table15[[#This Row],[Species in production]],Table4[Type of treatment (select)], "Antibiotic")/Table126[[#This Row],[ASC certified net production volume (tonnes)]]), "")</f>
        <v/>
      </c>
    </row>
    <row r="10" spans="3:17" x14ac:dyDescent="0.4">
      <c r="C10" s="30"/>
      <c r="D10" s="231"/>
      <c r="E10" s="150"/>
      <c r="F10" s="150"/>
      <c r="G10" s="30"/>
      <c r="H10" s="30"/>
      <c r="I10" s="30"/>
      <c r="J10" s="30"/>
      <c r="K10" s="30"/>
      <c r="L10" s="29"/>
      <c r="M10" s="231"/>
      <c r="N10" s="38"/>
      <c r="O10" s="323" t="str">
        <f>IF('Dropdown tables - Production'!G8 = 0, "", 'Dropdown tables - Production'!G8)</f>
        <v/>
      </c>
      <c r="P10" s="324" t="str">
        <f>IF(Table15[[#This Row],[Species in production]] = "", "", SUMIFS(Table126[ASC certified net production volume (tonnes)],Table126[Species in production (Latin name) (select)],Table15[[#This Row],[Species in production]]))</f>
        <v/>
      </c>
      <c r="Q10" s="324" t="str">
        <f>IFERROR((SUMIFS(Table4[Amount of active component (kg)],Table4[Species in production (Latin name) (select)],Table15[[#This Row],[Species in production]],Table4[Type of treatment (select)], "Antibiotic")/Table126[[#This Row],[ASC certified net production volume (tonnes)]]), "")</f>
        <v/>
      </c>
    </row>
    <row r="11" spans="3:17" x14ac:dyDescent="0.4">
      <c r="C11" s="30"/>
      <c r="D11" s="231"/>
      <c r="E11" s="150"/>
      <c r="F11" s="150"/>
      <c r="G11" s="30"/>
      <c r="H11" s="30"/>
      <c r="I11" s="30"/>
      <c r="J11" s="30"/>
      <c r="K11" s="30"/>
      <c r="L11" s="29"/>
      <c r="M11" s="231"/>
      <c r="N11" s="38"/>
      <c r="O11" s="323" t="str">
        <f>IF('Dropdown tables - Production'!G9 = 0, "", 'Dropdown tables - Production'!G9)</f>
        <v/>
      </c>
      <c r="P11" s="324" t="str">
        <f>IF(Table15[[#This Row],[Species in production]] = "", "", SUMIFS(Table126[ASC certified net production volume (tonnes)],Table126[Species in production (Latin name) (select)],Table15[[#This Row],[Species in production]]))</f>
        <v/>
      </c>
      <c r="Q11" s="324" t="str">
        <f>IFERROR((SUMIFS(Table4[Amount of active component (kg)],Table4[Species in production (Latin name) (select)],Table15[[#This Row],[Species in production]],Table4[Type of treatment (select)], "Antibiotic")/Table126[[#This Row],[ASC certified net production volume (tonnes)]]), "")</f>
        <v/>
      </c>
    </row>
    <row r="12" spans="3:17" x14ac:dyDescent="0.4">
      <c r="C12" s="30"/>
      <c r="D12" s="231"/>
      <c r="E12" s="150"/>
      <c r="F12" s="150"/>
      <c r="G12" s="30"/>
      <c r="H12" s="30"/>
      <c r="I12" s="30"/>
      <c r="J12" s="30"/>
      <c r="K12" s="30"/>
      <c r="L12" s="29"/>
      <c r="M12" s="231"/>
      <c r="N12" s="38"/>
      <c r="O12" s="323" t="str">
        <f>IF('Dropdown tables - Production'!G10 = 0, "", 'Dropdown tables - Production'!G10)</f>
        <v/>
      </c>
      <c r="P12" s="324" t="str">
        <f>IF(Table15[[#This Row],[Species in production]] = "", "", SUMIFS(Table126[ASC certified net production volume (tonnes)],Table126[Species in production (Latin name) (select)],Table15[[#This Row],[Species in production]]))</f>
        <v/>
      </c>
      <c r="Q12" s="324" t="str">
        <f>IFERROR((SUMIFS(Table4[Amount of active component (kg)],Table4[Species in production (Latin name) (select)],Table15[[#This Row],[Species in production]],Table4[Type of treatment (select)], "Antibiotic")/Table126[[#This Row],[ASC certified net production volume (tonnes)]]), "")</f>
        <v/>
      </c>
    </row>
    <row r="13" spans="3:17" x14ac:dyDescent="0.4">
      <c r="C13" s="30"/>
      <c r="D13" s="231"/>
      <c r="E13" s="150"/>
      <c r="F13" s="150"/>
      <c r="G13" s="30"/>
      <c r="H13" s="30"/>
      <c r="I13" s="30"/>
      <c r="J13" s="30"/>
      <c r="K13" s="30"/>
      <c r="L13" s="29"/>
      <c r="M13" s="231"/>
      <c r="N13" s="38"/>
      <c r="O13" s="323" t="str">
        <f>IF('Dropdown tables - Production'!G11 = 0, "", 'Dropdown tables - Production'!G11)</f>
        <v/>
      </c>
      <c r="P13" s="324" t="str">
        <f>IF(Table15[[#This Row],[Species in production]] = "", "", SUMIFS(Table126[ASC certified net production volume (tonnes)],Table126[Species in production (Latin name) (select)],Table15[[#This Row],[Species in production]]))</f>
        <v/>
      </c>
      <c r="Q13" s="324" t="str">
        <f>IFERROR((SUMIFS(Table4[Amount of active component (kg)],Table4[Species in production (Latin name) (select)],Table15[[#This Row],[Species in production]],Table4[Type of treatment (select)], "Antibiotic")/Table126[[#This Row],[ASC certified net production volume (tonnes)]]), "")</f>
        <v/>
      </c>
    </row>
    <row r="14" spans="3:17" x14ac:dyDescent="0.4">
      <c r="C14" s="30"/>
      <c r="D14" s="231"/>
      <c r="E14" s="150"/>
      <c r="F14" s="150"/>
      <c r="G14" s="30"/>
      <c r="H14" s="30"/>
      <c r="I14" s="30"/>
      <c r="J14" s="30"/>
      <c r="K14" s="30"/>
      <c r="L14" s="29"/>
      <c r="M14" s="231"/>
      <c r="N14" s="38"/>
      <c r="O14" s="323" t="str">
        <f>IF('Dropdown tables - Production'!G12 = 0, "", 'Dropdown tables - Production'!G12)</f>
        <v/>
      </c>
      <c r="P14" s="324" t="str">
        <f>IF(Table15[[#This Row],[Species in production]] = "", "", SUMIFS(Table126[ASC certified net production volume (tonnes)],Table126[Species in production (Latin name) (select)],Table15[[#This Row],[Species in production]]))</f>
        <v/>
      </c>
      <c r="Q14" s="324" t="str">
        <f>IFERROR((SUMIFS(Table4[Amount of active component (kg)],Table4[Species in production (Latin name) (select)],Table15[[#This Row],[Species in production]],Table4[Type of treatment (select)], "Antibiotic")/Table126[[#This Row],[ASC certified net production volume (tonnes)]]), "")</f>
        <v/>
      </c>
    </row>
    <row r="15" spans="3:17" x14ac:dyDescent="0.4">
      <c r="C15" s="30"/>
      <c r="D15" s="231"/>
      <c r="E15" s="150"/>
      <c r="F15" s="150"/>
      <c r="G15" s="30"/>
      <c r="H15" s="30"/>
      <c r="I15" s="30"/>
      <c r="J15" s="30"/>
      <c r="K15" s="30"/>
      <c r="L15" s="29"/>
      <c r="M15" s="231"/>
      <c r="N15" s="38"/>
      <c r="O15" s="323" t="str">
        <f>IF('Dropdown tables - Production'!G13 = 0, "", 'Dropdown tables - Production'!G13)</f>
        <v/>
      </c>
      <c r="P15" s="324" t="str">
        <f>IF(Table15[[#This Row],[Species in production]] = "", "", SUMIFS(Table126[ASC certified net production volume (tonnes)],Table126[Species in production (Latin name) (select)],Table15[[#This Row],[Species in production]]))</f>
        <v/>
      </c>
      <c r="Q15" s="324" t="str">
        <f>IFERROR((SUMIFS(Table4[Amount of active component (kg)],Table4[Species in production (Latin name) (select)],Table15[[#This Row],[Species in production]],Table4[Type of treatment (select)], "Antibiotic")/Table126[[#This Row],[ASC certified net production volume (tonnes)]]), "")</f>
        <v/>
      </c>
    </row>
    <row r="16" spans="3:17" x14ac:dyDescent="0.4">
      <c r="C16" s="30"/>
      <c r="D16" s="231"/>
      <c r="E16" s="150"/>
      <c r="F16" s="150"/>
      <c r="G16" s="30"/>
      <c r="H16" s="30"/>
      <c r="I16" s="30"/>
      <c r="J16" s="30"/>
      <c r="K16" s="30"/>
      <c r="L16" s="29"/>
      <c r="M16" s="231"/>
      <c r="N16" s="38"/>
      <c r="O16" s="323" t="str">
        <f>IF('Dropdown tables - Production'!G14 = 0, "", 'Dropdown tables - Production'!G14)</f>
        <v/>
      </c>
      <c r="P16" s="324" t="str">
        <f>IF(Table15[[#This Row],[Species in production]] = "", "", SUMIFS(Table126[ASC certified net production volume (tonnes)],Table126[Species in production (Latin name) (select)],Table15[[#This Row],[Species in production]]))</f>
        <v/>
      </c>
      <c r="Q16" s="324" t="str">
        <f>IFERROR((SUMIFS(Table4[Amount of active component (kg)],Table4[Species in production (Latin name) (select)],Table15[[#This Row],[Species in production]],Table4[Type of treatment (select)], "Antibiotic")/Table126[[#This Row],[ASC certified net production volume (tonnes)]]), "")</f>
        <v/>
      </c>
    </row>
    <row r="17" spans="3:17" x14ac:dyDescent="0.4">
      <c r="C17" s="30"/>
      <c r="D17" s="231"/>
      <c r="E17" s="150"/>
      <c r="F17" s="150"/>
      <c r="G17" s="30"/>
      <c r="H17" s="30"/>
      <c r="I17" s="30"/>
      <c r="J17" s="30"/>
      <c r="K17" s="30"/>
      <c r="L17" s="29"/>
      <c r="M17" s="231"/>
      <c r="N17" s="38"/>
      <c r="O17" s="323" t="str">
        <f>IF('Dropdown tables - Production'!G15 = 0, "", 'Dropdown tables - Production'!G15)</f>
        <v/>
      </c>
      <c r="P17" s="324" t="str">
        <f>IF(Table15[[#This Row],[Species in production]] = "", "", SUMIFS(Table126[ASC certified net production volume (tonnes)],Table126[Species in production (Latin name) (select)],Table15[[#This Row],[Species in production]]))</f>
        <v/>
      </c>
      <c r="Q17" s="324" t="str">
        <f>IFERROR((SUMIFS(Table4[Amount of active component (kg)],Table4[Species in production (Latin name) (select)],Table15[[#This Row],[Species in production]],Table4[Type of treatment (select)], "Antibiotic")/Table126[[#This Row],[ASC certified net production volume (tonnes)]]), "")</f>
        <v/>
      </c>
    </row>
    <row r="18" spans="3:17" x14ac:dyDescent="0.4">
      <c r="C18" s="30"/>
      <c r="D18" s="231"/>
      <c r="E18" s="150"/>
      <c r="F18" s="150"/>
      <c r="G18" s="30"/>
      <c r="H18" s="30"/>
      <c r="I18" s="30"/>
      <c r="J18" s="30"/>
      <c r="K18" s="30"/>
      <c r="L18" s="29"/>
      <c r="M18" s="231"/>
      <c r="N18" s="38"/>
      <c r="O18" s="323" t="str">
        <f>IF('Dropdown tables - Production'!G16 = 0, "", 'Dropdown tables - Production'!G16)</f>
        <v/>
      </c>
      <c r="P18" s="324" t="str">
        <f>IF(Table15[[#This Row],[Species in production]] = "", "", SUMIFS(Table126[ASC certified net production volume (tonnes)],Table126[Species in production (Latin name) (select)],Table15[[#This Row],[Species in production]]))</f>
        <v/>
      </c>
      <c r="Q18" s="324" t="str">
        <f>IFERROR((SUMIFS(Table4[Amount of active component (kg)],Table4[Species in production (Latin name) (select)],Table15[[#This Row],[Species in production]],Table4[Type of treatment (select)], "Antibiotic")/Table126[[#This Row],[ASC certified net production volume (tonnes)]]), "")</f>
        <v/>
      </c>
    </row>
    <row r="19" spans="3:17" x14ac:dyDescent="0.4">
      <c r="C19" s="30"/>
      <c r="D19" s="231"/>
      <c r="E19" s="150"/>
      <c r="F19" s="150"/>
      <c r="G19" s="30"/>
      <c r="H19" s="30"/>
      <c r="I19" s="30"/>
      <c r="J19" s="30"/>
      <c r="K19" s="30"/>
      <c r="L19" s="29"/>
      <c r="M19" s="231"/>
      <c r="N19" s="38"/>
      <c r="O19" s="323" t="str">
        <f>IF('Dropdown tables - Production'!G17 = 0, "", 'Dropdown tables - Production'!G17)</f>
        <v/>
      </c>
      <c r="P19" s="324" t="str">
        <f>IF(Table15[[#This Row],[Species in production]] = "", "", SUMIFS(Table126[ASC certified net production volume (tonnes)],Table126[Species in production (Latin name) (select)],Table15[[#This Row],[Species in production]]))</f>
        <v/>
      </c>
      <c r="Q19" s="324" t="str">
        <f>IFERROR((SUMIFS(Table4[Amount of active component (kg)],Table4[Species in production (Latin name) (select)],Table15[[#This Row],[Species in production]],Table4[Type of treatment (select)], "Antibiotic")/Table126[[#This Row],[ASC certified net production volume (tonnes)]]), "")</f>
        <v/>
      </c>
    </row>
    <row r="20" spans="3:17" x14ac:dyDescent="0.4">
      <c r="C20" s="30"/>
      <c r="D20" s="231"/>
      <c r="E20" s="150"/>
      <c r="F20" s="150"/>
      <c r="G20" s="30"/>
      <c r="H20" s="30"/>
      <c r="I20" s="30"/>
      <c r="J20" s="30"/>
      <c r="K20" s="30"/>
      <c r="L20" s="29"/>
      <c r="M20" s="231"/>
      <c r="N20" s="38"/>
      <c r="O20" s="323" t="str">
        <f>IF('Dropdown tables - Production'!G18 = 0, "", 'Dropdown tables - Production'!G18)</f>
        <v/>
      </c>
      <c r="P20" s="324" t="str">
        <f>IF(Table15[[#This Row],[Species in production]] = "", "", SUMIFS(Table126[ASC certified net production volume (tonnes)],Table126[Species in production (Latin name) (select)],Table15[[#This Row],[Species in production]]))</f>
        <v/>
      </c>
      <c r="Q20" s="324" t="str">
        <f>IFERROR((SUMIFS(Table4[Amount of active component (kg)],Table4[Species in production (Latin name) (select)],Table15[[#This Row],[Species in production]],Table4[Type of treatment (select)], "Antibiotic")/Table126[[#This Row],[ASC certified net production volume (tonnes)]]), "")</f>
        <v/>
      </c>
    </row>
    <row r="21" spans="3:17" x14ac:dyDescent="0.4">
      <c r="C21" s="30"/>
      <c r="D21" s="231"/>
      <c r="E21" s="150"/>
      <c r="F21" s="150"/>
      <c r="G21" s="30"/>
      <c r="H21" s="30"/>
      <c r="I21" s="30"/>
      <c r="J21" s="30"/>
      <c r="K21" s="30"/>
      <c r="L21" s="29"/>
      <c r="M21" s="231"/>
      <c r="N21" s="38"/>
      <c r="O21" s="323" t="str">
        <f>IF('Dropdown tables - Production'!G19 = 0, "", 'Dropdown tables - Production'!G19)</f>
        <v/>
      </c>
      <c r="P21" s="324" t="str">
        <f>IF(Table15[[#This Row],[Species in production]] = "", "", SUMIFS(Table126[ASC certified net production volume (tonnes)],Table126[Species in production (Latin name) (select)],Table15[[#This Row],[Species in production]]))</f>
        <v/>
      </c>
      <c r="Q21" s="324" t="str">
        <f>IFERROR((SUMIFS(Table4[Amount of active component (kg)],Table4[Species in production (Latin name) (select)],Table15[[#This Row],[Species in production]],Table4[Type of treatment (select)], "Antibiotic")/Table126[[#This Row],[ASC certified net production volume (tonnes)]]), "")</f>
        <v/>
      </c>
    </row>
    <row r="22" spans="3:17" x14ac:dyDescent="0.4">
      <c r="C22" s="30"/>
      <c r="D22" s="231"/>
      <c r="E22" s="150"/>
      <c r="F22" s="150"/>
      <c r="G22" s="30"/>
      <c r="H22" s="30"/>
      <c r="I22" s="30"/>
      <c r="J22" s="30"/>
      <c r="K22" s="30"/>
      <c r="L22" s="29"/>
      <c r="M22" s="231"/>
      <c r="N22" s="38"/>
      <c r="O22" s="323" t="str">
        <f>IF('Dropdown tables - Production'!G20 = 0, "", 'Dropdown tables - Production'!G20)</f>
        <v/>
      </c>
      <c r="P22" s="324" t="str">
        <f>IF(Table15[[#This Row],[Species in production]] = "", "", SUMIFS(Table126[ASC certified net production volume (tonnes)],Table126[Species in production (Latin name) (select)],Table15[[#This Row],[Species in production]]))</f>
        <v/>
      </c>
      <c r="Q22" s="324" t="str">
        <f>IFERROR((SUMIFS(Table4[Amount of active component (kg)],Table4[Species in production (Latin name) (select)],Table15[[#This Row],[Species in production]],Table4[Type of treatment (select)], "Antibiotic")/Table126[[#This Row],[ASC certified net production volume (tonnes)]]), "")</f>
        <v/>
      </c>
    </row>
    <row r="23" spans="3:17" x14ac:dyDescent="0.4">
      <c r="C23" s="30"/>
      <c r="D23" s="231"/>
      <c r="E23" s="150"/>
      <c r="F23" s="150"/>
      <c r="G23" s="30"/>
      <c r="H23" s="30"/>
      <c r="I23" s="30"/>
      <c r="J23" s="30"/>
      <c r="K23" s="30"/>
      <c r="L23" s="29"/>
      <c r="M23" s="231"/>
      <c r="N23" s="38"/>
      <c r="O23" s="323" t="str">
        <f>IF('Dropdown tables - Production'!G21 = 0, "", 'Dropdown tables - Production'!G21)</f>
        <v/>
      </c>
      <c r="P23" s="324" t="str">
        <f>IF(Table15[[#This Row],[Species in production]] = "", "", SUMIFS(Table126[ASC certified net production volume (tonnes)],Table126[Species in production (Latin name) (select)],Table15[[#This Row],[Species in production]]))</f>
        <v/>
      </c>
      <c r="Q23" s="324" t="str">
        <f>IFERROR((SUMIFS(Table4[Amount of active component (kg)],Table4[Species in production (Latin name) (select)],Table15[[#This Row],[Species in production]],Table4[Type of treatment (select)], "Antibiotic")/Table126[[#This Row],[ASC certified net production volume (tonnes)]]), "")</f>
        <v/>
      </c>
    </row>
    <row r="24" spans="3:17" x14ac:dyDescent="0.4">
      <c r="C24" s="30"/>
      <c r="D24" s="231"/>
      <c r="E24" s="150"/>
      <c r="F24" s="150"/>
      <c r="G24" s="30"/>
      <c r="H24" s="30"/>
      <c r="I24" s="30"/>
      <c r="J24" s="30"/>
      <c r="K24" s="30"/>
      <c r="L24" s="29"/>
      <c r="M24" s="231"/>
      <c r="N24" s="38"/>
      <c r="O24" s="323" t="str">
        <f>IF('Dropdown tables - Production'!G22 = 0, "", 'Dropdown tables - Production'!G22)</f>
        <v/>
      </c>
      <c r="P24" s="324" t="str">
        <f>IF(Table15[[#This Row],[Species in production]] = "", "", SUMIFS(Table126[ASC certified net production volume (tonnes)],Table126[Species in production (Latin name) (select)],Table15[[#This Row],[Species in production]]))</f>
        <v/>
      </c>
      <c r="Q24" s="324" t="str">
        <f>IFERROR((SUMIFS(Table4[Amount of active component (kg)],Table4[Species in production (Latin name) (select)],Table15[[#This Row],[Species in production]],Table4[Type of treatment (select)], "Antibiotic")/Table126[[#This Row],[ASC certified net production volume (tonnes)]]), "")</f>
        <v/>
      </c>
    </row>
    <row r="25" spans="3:17" x14ac:dyDescent="0.4">
      <c r="C25" s="30"/>
      <c r="D25" s="231"/>
      <c r="E25" s="150"/>
      <c r="F25" s="150"/>
      <c r="G25" s="30"/>
      <c r="H25" s="30"/>
      <c r="I25" s="30"/>
      <c r="J25" s="30"/>
      <c r="K25" s="30"/>
      <c r="L25" s="29"/>
      <c r="M25" s="231"/>
      <c r="N25" s="38"/>
      <c r="O25" s="323" t="str">
        <f>IF('Dropdown tables - Production'!G23 = 0, "", 'Dropdown tables - Production'!G23)</f>
        <v/>
      </c>
      <c r="P25" s="324" t="str">
        <f>IF(Table15[[#This Row],[Species in production]] = "", "", SUMIFS(Table126[ASC certified net production volume (tonnes)],Table126[Species in production (Latin name) (select)],Table15[[#This Row],[Species in production]]))</f>
        <v/>
      </c>
      <c r="Q25" s="324" t="str">
        <f>IFERROR((SUMIFS(Table4[Amount of active component (kg)],Table4[Species in production (Latin name) (select)],Table15[[#This Row],[Species in production]],Table4[Type of treatment (select)], "Antibiotic")/Table126[[#This Row],[ASC certified net production volume (tonnes)]]), "")</f>
        <v/>
      </c>
    </row>
    <row r="26" spans="3:17" x14ac:dyDescent="0.4">
      <c r="C26" s="30"/>
      <c r="D26" s="231"/>
      <c r="E26" s="150"/>
      <c r="F26" s="150"/>
      <c r="G26" s="30"/>
      <c r="H26" s="30"/>
      <c r="I26" s="30"/>
      <c r="J26" s="30"/>
      <c r="K26" s="30"/>
      <c r="L26" s="29"/>
      <c r="M26" s="231"/>
      <c r="N26" s="38"/>
      <c r="O26" s="323" t="str">
        <f>IF('Dropdown tables - Production'!G24 = 0, "", 'Dropdown tables - Production'!G24)</f>
        <v/>
      </c>
      <c r="P26" s="324" t="str">
        <f>IF(Table15[[#This Row],[Species in production]] = "", "", SUMIFS(Table126[ASC certified net production volume (tonnes)],Table126[Species in production (Latin name) (select)],Table15[[#This Row],[Species in production]]))</f>
        <v/>
      </c>
      <c r="Q26" s="324" t="str">
        <f>IFERROR((SUMIFS(Table4[Amount of active component (kg)],Table4[Species in production (Latin name) (select)],Table15[[#This Row],[Species in production]],Table4[Type of treatment (select)], "Antibiotic")/Table126[[#This Row],[ASC certified net production volume (tonnes)]]), "")</f>
        <v/>
      </c>
    </row>
    <row r="27" spans="3:17" x14ac:dyDescent="0.4">
      <c r="C27" s="30"/>
      <c r="D27" s="231"/>
      <c r="E27" s="150"/>
      <c r="F27" s="150"/>
      <c r="G27" s="30"/>
      <c r="H27" s="30"/>
      <c r="I27" s="30"/>
      <c r="J27" s="30"/>
      <c r="K27" s="30"/>
      <c r="L27" s="29"/>
      <c r="M27" s="231"/>
      <c r="N27" s="38"/>
      <c r="O27" s="323" t="str">
        <f>IF('Dropdown tables - Production'!G25 = 0, "", 'Dropdown tables - Production'!G25)</f>
        <v/>
      </c>
      <c r="P27" s="324" t="str">
        <f>IF(Table15[[#This Row],[Species in production]] = "", "", SUMIFS(Table126[ASC certified net production volume (tonnes)],Table126[Species in production (Latin name) (select)],Table15[[#This Row],[Species in production]]))</f>
        <v/>
      </c>
      <c r="Q27" s="324" t="str">
        <f>IFERROR((SUMIFS(Table4[Amount of active component (kg)],Table4[Species in production (Latin name) (select)],Table15[[#This Row],[Species in production]],Table4[Type of treatment (select)], "Antibiotic")/Table126[[#This Row],[ASC certified net production volume (tonnes)]]), "")</f>
        <v/>
      </c>
    </row>
    <row r="28" spans="3:17" x14ac:dyDescent="0.4">
      <c r="C28" s="30"/>
      <c r="D28" s="231"/>
      <c r="E28" s="150"/>
      <c r="F28" s="150"/>
      <c r="G28" s="30"/>
      <c r="H28" s="30"/>
      <c r="I28" s="30"/>
      <c r="J28" s="30"/>
      <c r="K28" s="30"/>
      <c r="L28" s="29"/>
      <c r="M28" s="231"/>
      <c r="N28" s="38"/>
    </row>
    <row r="29" spans="3:17" x14ac:dyDescent="0.4">
      <c r="C29" s="30"/>
      <c r="D29" s="231"/>
      <c r="E29" s="150"/>
      <c r="F29" s="150"/>
      <c r="G29" s="30"/>
      <c r="H29" s="30"/>
      <c r="I29" s="30"/>
      <c r="J29" s="30"/>
      <c r="K29" s="30"/>
      <c r="L29" s="29"/>
      <c r="M29" s="231"/>
      <c r="N29" s="38"/>
    </row>
    <row r="30" spans="3:17" x14ac:dyDescent="0.4">
      <c r="C30" s="30"/>
      <c r="D30" s="231"/>
      <c r="E30" s="150"/>
      <c r="F30" s="150"/>
      <c r="G30" s="30"/>
      <c r="H30" s="30"/>
      <c r="I30" s="30"/>
      <c r="J30" s="30"/>
      <c r="K30" s="30"/>
      <c r="L30" s="29"/>
      <c r="M30" s="231"/>
      <c r="N30" s="38"/>
    </row>
    <row r="31" spans="3:17" x14ac:dyDescent="0.4">
      <c r="C31" s="30"/>
      <c r="D31" s="231"/>
      <c r="E31" s="150"/>
      <c r="F31" s="150"/>
      <c r="G31" s="30"/>
      <c r="H31" s="30"/>
      <c r="I31" s="30"/>
      <c r="J31" s="30"/>
      <c r="K31" s="30"/>
      <c r="L31" s="29"/>
      <c r="M31" s="231"/>
      <c r="N31" s="38"/>
    </row>
    <row r="32" spans="3:17" x14ac:dyDescent="0.4">
      <c r="C32" s="30"/>
      <c r="D32" s="231"/>
      <c r="E32" s="150"/>
      <c r="F32" s="150"/>
      <c r="G32" s="30"/>
      <c r="H32" s="30"/>
      <c r="I32" s="30"/>
      <c r="J32" s="30"/>
      <c r="K32" s="30"/>
      <c r="L32" s="29"/>
      <c r="M32" s="231"/>
      <c r="N32" s="38"/>
    </row>
    <row r="33" spans="3:14" x14ac:dyDescent="0.4">
      <c r="C33" s="30"/>
      <c r="D33" s="231"/>
      <c r="E33" s="150"/>
      <c r="F33" s="150"/>
      <c r="G33" s="30"/>
      <c r="H33" s="30"/>
      <c r="I33" s="30"/>
      <c r="J33" s="30"/>
      <c r="K33" s="30"/>
      <c r="L33" s="29"/>
      <c r="M33" s="231"/>
      <c r="N33" s="38"/>
    </row>
    <row r="34" spans="3:14" x14ac:dyDescent="0.4">
      <c r="C34" s="30"/>
      <c r="D34" s="231"/>
      <c r="E34" s="150"/>
      <c r="F34" s="150"/>
      <c r="G34" s="30"/>
      <c r="H34" s="30"/>
      <c r="I34" s="30"/>
      <c r="J34" s="30"/>
      <c r="K34" s="30"/>
      <c r="L34" s="29"/>
      <c r="M34" s="231"/>
      <c r="N34" s="38"/>
    </row>
    <row r="35" spans="3:14" x14ac:dyDescent="0.4">
      <c r="C35" s="30"/>
      <c r="D35" s="231"/>
      <c r="E35" s="150"/>
      <c r="F35" s="150"/>
      <c r="G35" s="30"/>
      <c r="H35" s="30"/>
      <c r="I35" s="30"/>
      <c r="J35" s="30"/>
      <c r="K35" s="30"/>
      <c r="L35" s="29"/>
      <c r="M35" s="231"/>
      <c r="N35" s="38"/>
    </row>
    <row r="36" spans="3:14" x14ac:dyDescent="0.4">
      <c r="C36" s="30"/>
      <c r="D36" s="231"/>
      <c r="E36" s="150"/>
      <c r="F36" s="150"/>
      <c r="G36" s="30"/>
      <c r="H36" s="30"/>
      <c r="I36" s="30"/>
      <c r="J36" s="30"/>
      <c r="K36" s="30"/>
      <c r="L36" s="29"/>
      <c r="M36" s="231"/>
      <c r="N36" s="38"/>
    </row>
    <row r="37" spans="3:14" x14ac:dyDescent="0.4">
      <c r="C37" s="30"/>
      <c r="D37" s="231"/>
      <c r="E37" s="150"/>
      <c r="F37" s="150"/>
      <c r="G37" s="30"/>
      <c r="H37" s="30"/>
      <c r="I37" s="30"/>
      <c r="J37" s="30"/>
      <c r="K37" s="30"/>
      <c r="L37" s="29"/>
      <c r="M37" s="231"/>
      <c r="N37" s="38"/>
    </row>
    <row r="38" spans="3:14" x14ac:dyDescent="0.4">
      <c r="C38" s="30"/>
      <c r="D38" s="231"/>
      <c r="E38" s="150"/>
      <c r="F38" s="150"/>
      <c r="G38" s="30"/>
      <c r="H38" s="30"/>
      <c r="I38" s="30"/>
      <c r="J38" s="30"/>
      <c r="K38" s="30"/>
      <c r="L38" s="29"/>
      <c r="M38" s="231"/>
      <c r="N38" s="38"/>
    </row>
    <row r="39" spans="3:14" x14ac:dyDescent="0.4">
      <c r="C39" s="30"/>
      <c r="D39" s="231"/>
      <c r="E39" s="150"/>
      <c r="F39" s="150"/>
      <c r="G39" s="30"/>
      <c r="H39" s="30"/>
      <c r="I39" s="30"/>
      <c r="J39" s="30"/>
      <c r="K39" s="30"/>
      <c r="L39" s="29"/>
      <c r="M39" s="231"/>
      <c r="N39" s="38"/>
    </row>
    <row r="40" spans="3:14" x14ac:dyDescent="0.4">
      <c r="C40" s="30"/>
      <c r="D40" s="231"/>
      <c r="E40" s="150"/>
      <c r="F40" s="150"/>
      <c r="G40" s="30"/>
      <c r="H40" s="30"/>
      <c r="I40" s="30"/>
      <c r="J40" s="30"/>
      <c r="K40" s="30"/>
      <c r="L40" s="29"/>
      <c r="M40" s="231"/>
      <c r="N40" s="38"/>
    </row>
    <row r="41" spans="3:14" x14ac:dyDescent="0.4">
      <c r="C41" s="30"/>
      <c r="D41" s="231"/>
      <c r="E41" s="150"/>
      <c r="F41" s="150"/>
      <c r="G41" s="30"/>
      <c r="H41" s="30"/>
      <c r="I41" s="30"/>
      <c r="J41" s="30"/>
      <c r="K41" s="30"/>
      <c r="L41" s="29"/>
      <c r="M41" s="231"/>
      <c r="N41" s="38"/>
    </row>
    <row r="42" spans="3:14" x14ac:dyDescent="0.4">
      <c r="C42" s="30"/>
      <c r="D42" s="231"/>
      <c r="E42" s="150"/>
      <c r="F42" s="150"/>
      <c r="G42" s="30"/>
      <c r="H42" s="30"/>
      <c r="I42" s="30"/>
      <c r="J42" s="30"/>
      <c r="K42" s="30"/>
      <c r="L42" s="29"/>
      <c r="M42" s="231"/>
      <c r="N42" s="38"/>
    </row>
    <row r="43" spans="3:14" x14ac:dyDescent="0.4">
      <c r="C43" s="30"/>
      <c r="D43" s="231"/>
      <c r="E43" s="150"/>
      <c r="F43" s="150"/>
      <c r="G43" s="30"/>
      <c r="H43" s="30"/>
      <c r="I43" s="30"/>
      <c r="J43" s="30"/>
      <c r="K43" s="30"/>
      <c r="L43" s="29"/>
      <c r="M43" s="231"/>
      <c r="N43" s="38"/>
    </row>
    <row r="44" spans="3:14" x14ac:dyDescent="0.4">
      <c r="C44" s="30"/>
      <c r="D44" s="231"/>
      <c r="E44" s="150"/>
      <c r="F44" s="150"/>
      <c r="G44" s="30"/>
      <c r="H44" s="30"/>
      <c r="I44" s="30"/>
      <c r="J44" s="30"/>
      <c r="K44" s="30"/>
      <c r="L44" s="29"/>
      <c r="M44" s="231"/>
      <c r="N44" s="38"/>
    </row>
    <row r="45" spans="3:14" x14ac:dyDescent="0.4">
      <c r="C45" s="30"/>
      <c r="D45" s="231"/>
      <c r="E45" s="150"/>
      <c r="F45" s="150"/>
      <c r="G45" s="30"/>
      <c r="H45" s="30"/>
      <c r="I45" s="30"/>
      <c r="J45" s="30"/>
      <c r="K45" s="30"/>
      <c r="L45" s="29"/>
      <c r="M45" s="231"/>
      <c r="N45" s="38"/>
    </row>
    <row r="46" spans="3:14" x14ac:dyDescent="0.4">
      <c r="C46" s="30"/>
      <c r="D46" s="231"/>
      <c r="E46" s="150"/>
      <c r="F46" s="150"/>
      <c r="G46" s="30"/>
      <c r="H46" s="30"/>
      <c r="I46" s="30"/>
      <c r="J46" s="30"/>
      <c r="K46" s="30"/>
      <c r="L46" s="29"/>
      <c r="M46" s="231"/>
      <c r="N46" s="38"/>
    </row>
    <row r="47" spans="3:14" x14ac:dyDescent="0.4">
      <c r="C47" s="30"/>
      <c r="D47" s="231"/>
      <c r="E47" s="150"/>
      <c r="F47" s="150"/>
      <c r="G47" s="30"/>
      <c r="H47" s="30"/>
      <c r="I47" s="30"/>
      <c r="J47" s="30"/>
      <c r="K47" s="30"/>
      <c r="L47" s="29"/>
      <c r="M47" s="231"/>
      <c r="N47" s="38"/>
    </row>
    <row r="48" spans="3:14" x14ac:dyDescent="0.4">
      <c r="C48" s="30"/>
      <c r="D48" s="231"/>
      <c r="E48" s="150"/>
      <c r="F48" s="150"/>
      <c r="G48" s="30"/>
      <c r="H48" s="30"/>
      <c r="I48" s="30"/>
      <c r="J48" s="30"/>
      <c r="K48" s="30"/>
      <c r="L48" s="29"/>
      <c r="M48" s="231"/>
      <c r="N48" s="38"/>
    </row>
    <row r="49" spans="3:14" x14ac:dyDescent="0.4">
      <c r="C49" s="30"/>
      <c r="D49" s="231"/>
      <c r="E49" s="150"/>
      <c r="F49" s="150"/>
      <c r="G49" s="30"/>
      <c r="H49" s="30"/>
      <c r="I49" s="30"/>
      <c r="J49" s="30"/>
      <c r="K49" s="30"/>
      <c r="L49" s="29"/>
      <c r="M49" s="231"/>
      <c r="N49" s="38"/>
    </row>
    <row r="50" spans="3:14" x14ac:dyDescent="0.4">
      <c r="C50" s="30"/>
      <c r="D50" s="231"/>
      <c r="E50" s="150"/>
      <c r="F50" s="150"/>
      <c r="G50" s="30"/>
      <c r="H50" s="30"/>
      <c r="I50" s="30"/>
      <c r="J50" s="30"/>
      <c r="K50" s="30"/>
      <c r="L50" s="29"/>
      <c r="M50" s="231"/>
      <c r="N50" s="38"/>
    </row>
    <row r="51" spans="3:14" x14ac:dyDescent="0.4">
      <c r="N51" s="38"/>
    </row>
    <row r="52" spans="3:14" x14ac:dyDescent="0.4">
      <c r="N52" s="38"/>
    </row>
    <row r="53" spans="3:14" x14ac:dyDescent="0.4">
      <c r="N53" s="38"/>
    </row>
    <row r="54" spans="3:14" x14ac:dyDescent="0.4">
      <c r="N54" s="38"/>
    </row>
    <row r="55" spans="3:14" x14ac:dyDescent="0.4">
      <c r="N55" s="38"/>
    </row>
    <row r="56" spans="3:14" x14ac:dyDescent="0.4">
      <c r="N56" s="38"/>
    </row>
    <row r="57" spans="3:14" x14ac:dyDescent="0.4">
      <c r="N57" s="38"/>
    </row>
    <row r="58" spans="3:14" x14ac:dyDescent="0.4">
      <c r="N58" s="38"/>
    </row>
    <row r="59" spans="3:14" x14ac:dyDescent="0.4">
      <c r="N59" s="38"/>
    </row>
    <row r="60" spans="3:14" x14ac:dyDescent="0.4">
      <c r="N60" s="38"/>
    </row>
    <row r="61" spans="3:14" x14ac:dyDescent="0.4">
      <c r="N61" s="38"/>
    </row>
    <row r="62" spans="3:14" x14ac:dyDescent="0.4">
      <c r="N62" s="38"/>
    </row>
    <row r="63" spans="3:14" x14ac:dyDescent="0.4">
      <c r="N63" s="38"/>
    </row>
    <row r="64" spans="3:14" x14ac:dyDescent="0.4">
      <c r="N64" s="38"/>
    </row>
    <row r="65" spans="14:14" x14ac:dyDescent="0.4">
      <c r="N65" s="38"/>
    </row>
    <row r="66" spans="14:14" x14ac:dyDescent="0.4">
      <c r="N66" s="38"/>
    </row>
    <row r="67" spans="14:14" x14ac:dyDescent="0.4">
      <c r="N67" s="38"/>
    </row>
    <row r="68" spans="14:14" x14ac:dyDescent="0.4">
      <c r="N68" s="38"/>
    </row>
    <row r="69" spans="14:14" x14ac:dyDescent="0.4">
      <c r="N69" s="38"/>
    </row>
    <row r="70" spans="14:14" x14ac:dyDescent="0.4">
      <c r="N70" s="38"/>
    </row>
    <row r="71" spans="14:14" x14ac:dyDescent="0.4">
      <c r="N71" s="38"/>
    </row>
    <row r="72" spans="14:14" x14ac:dyDescent="0.4">
      <c r="N72" s="38"/>
    </row>
    <row r="73" spans="14:14" x14ac:dyDescent="0.4">
      <c r="N73" s="38"/>
    </row>
    <row r="74" spans="14:14" x14ac:dyDescent="0.4">
      <c r="N74" s="38"/>
    </row>
    <row r="75" spans="14:14" x14ac:dyDescent="0.4">
      <c r="N75" s="38"/>
    </row>
    <row r="76" spans="14:14" x14ac:dyDescent="0.4">
      <c r="N76" s="38"/>
    </row>
    <row r="77" spans="14:14" x14ac:dyDescent="0.4">
      <c r="N77" s="38"/>
    </row>
    <row r="78" spans="14:14" x14ac:dyDescent="0.4">
      <c r="N78" s="38"/>
    </row>
    <row r="79" spans="14:14" x14ac:dyDescent="0.4">
      <c r="N79" s="38"/>
    </row>
    <row r="80" spans="14:14" x14ac:dyDescent="0.4">
      <c r="N80" s="38"/>
    </row>
    <row r="81" spans="14:14" x14ac:dyDescent="0.4">
      <c r="N81" s="38"/>
    </row>
    <row r="82" spans="14:14" x14ac:dyDescent="0.4">
      <c r="N82" s="38"/>
    </row>
    <row r="83" spans="14:14" x14ac:dyDescent="0.4">
      <c r="N83" s="38"/>
    </row>
    <row r="84" spans="14:14" x14ac:dyDescent="0.4">
      <c r="N84" s="38"/>
    </row>
    <row r="85" spans="14:14" x14ac:dyDescent="0.4">
      <c r="N85" s="38"/>
    </row>
    <row r="86" spans="14:14" x14ac:dyDescent="0.4">
      <c r="N86" s="38"/>
    </row>
    <row r="87" spans="14:14" x14ac:dyDescent="0.4">
      <c r="N87" s="38"/>
    </row>
    <row r="88" spans="14:14" x14ac:dyDescent="0.4">
      <c r="N88" s="38"/>
    </row>
    <row r="89" spans="14:14" x14ac:dyDescent="0.4">
      <c r="N89" s="38"/>
    </row>
    <row r="90" spans="14:14" x14ac:dyDescent="0.4">
      <c r="N90" s="38"/>
    </row>
    <row r="91" spans="14:14" x14ac:dyDescent="0.4">
      <c r="N91" s="38"/>
    </row>
    <row r="92" spans="14:14" x14ac:dyDescent="0.4">
      <c r="N92" s="38"/>
    </row>
    <row r="93" spans="14:14" x14ac:dyDescent="0.4">
      <c r="N93" s="38"/>
    </row>
    <row r="94" spans="14:14" x14ac:dyDescent="0.4">
      <c r="N94" s="38"/>
    </row>
    <row r="95" spans="14:14" x14ac:dyDescent="0.4">
      <c r="N95" s="38"/>
    </row>
    <row r="96" spans="14:14" x14ac:dyDescent="0.4">
      <c r="N96" s="38"/>
    </row>
    <row r="97" spans="14:14" x14ac:dyDescent="0.4">
      <c r="N97" s="38"/>
    </row>
    <row r="98" spans="14:14" x14ac:dyDescent="0.4">
      <c r="N98" s="38"/>
    </row>
    <row r="99" spans="14:14" x14ac:dyDescent="0.4">
      <c r="N99" s="38"/>
    </row>
    <row r="100" spans="14:14" x14ac:dyDescent="0.4">
      <c r="N100" s="38"/>
    </row>
    <row r="101" spans="14:14" x14ac:dyDescent="0.4">
      <c r="N101" s="38"/>
    </row>
    <row r="102" spans="14:14" x14ac:dyDescent="0.4">
      <c r="N102" s="38"/>
    </row>
    <row r="103" spans="14:14" x14ac:dyDescent="0.4">
      <c r="N103" s="38"/>
    </row>
    <row r="104" spans="14:14" x14ac:dyDescent="0.4">
      <c r="N104" s="38"/>
    </row>
    <row r="105" spans="14:14" x14ac:dyDescent="0.4">
      <c r="N105" s="38"/>
    </row>
    <row r="106" spans="14:14" x14ac:dyDescent="0.4">
      <c r="N106" s="38"/>
    </row>
    <row r="107" spans="14:14" x14ac:dyDescent="0.4">
      <c r="N107" s="38"/>
    </row>
    <row r="108" spans="14:14" x14ac:dyDescent="0.4">
      <c r="N108" s="38"/>
    </row>
    <row r="109" spans="14:14" x14ac:dyDescent="0.4">
      <c r="N109" s="38"/>
    </row>
    <row r="110" spans="14:14" x14ac:dyDescent="0.4">
      <c r="N110" s="38"/>
    </row>
    <row r="111" spans="14:14" x14ac:dyDescent="0.4">
      <c r="N111" s="38"/>
    </row>
    <row r="112" spans="14:14" x14ac:dyDescent="0.4">
      <c r="N112" s="38"/>
    </row>
    <row r="113" spans="14:14" x14ac:dyDescent="0.4">
      <c r="N113" s="38"/>
    </row>
    <row r="114" spans="14:14" x14ac:dyDescent="0.4">
      <c r="N114" s="38"/>
    </row>
  </sheetData>
  <sheetProtection algorithmName="SHA-512" hashValue="MhqLsS0VEf7yiFJCg9SXwuhKdUf/PB4JPxHTT2ZMA5fMiBvtanNwGE7nz5+NdWJ7CkqzF+bRZvt4qK0OQLlmdg==" saltValue="TRmkykAWXJ+K1C9vRAo9yw==" spinCount="100000" sheet="1" objects="1" scenarios="1"/>
  <dataValidations count="2">
    <dataValidation type="date" allowBlank="1" showInputMessage="1" showErrorMessage="1" sqref="E5:F50" xr:uid="{5E418199-C812-42E5-AE71-968ABD6FC4D0}">
      <formula1>43831</formula1>
      <formula2>73051</formula2>
    </dataValidation>
    <dataValidation type="decimal" operator="greaterThanOrEqual" allowBlank="1" showInputMessage="1" showErrorMessage="1" sqref="N5:N114 L5:L50" xr:uid="{71A4C2B2-BCCD-4445-B343-611A0E739309}">
      <formula1>0</formula1>
    </dataValidation>
  </dataValidation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99C320AB-B954-4190-8186-637887D8D668}">
          <x14:formula1>
            <xm:f>'Dropdown tables - Production'!$C$3:$C$77</xm:f>
          </x14:formula1>
          <xm:sqref>C5:C50</xm:sqref>
        </x14:dataValidation>
        <x14:dataValidation type="list" allowBlank="1" showInputMessage="1" xr:uid="{8187FA60-48CC-4F56-BAE6-ED0420FAFC51}">
          <x14:formula1>
            <xm:f>'Dropdown tables - Production'!$Q$2:$Q$10</xm:f>
          </x14:formula1>
          <xm:sqref>G11:G50 G5:G9</xm:sqref>
        </x14:dataValidation>
        <x14:dataValidation type="list" allowBlank="1" showInputMessage="1" showErrorMessage="1" xr:uid="{7DBF09D1-2473-4C6E-B3BB-C90D9D42EE48}">
          <x14:formula1>
            <xm:f>'Dropdown tables - Production'!$D$2:$D$77</xm:f>
          </x14:formula1>
          <xm:sqref>D5:D50 G5:G50</xm:sqref>
        </x14:dataValidation>
        <x14:dataValidation type="list" allowBlank="1" showInputMessage="1" showErrorMessage="1" xr:uid="{33235EEA-7FD7-4B7B-B2E7-834D2924DD36}">
          <x14:formula1>
            <xm:f>'Dropdown tables - Production'!$R$2:$R$6</xm:f>
          </x14:formula1>
          <xm:sqref>K5:K50</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4EAE3-2395-4CF0-8CC6-2196936D6237}">
  <sheetPr codeName="Sheet33">
    <tabColor theme="9" tint="0.59999389629810485"/>
  </sheetPr>
  <dimension ref="A1:AB1602"/>
  <sheetViews>
    <sheetView zoomScaleNormal="100" workbookViewId="0">
      <selection activeCell="A9" sqref="A9:D77"/>
    </sheetView>
  </sheetViews>
  <sheetFormatPr defaultRowHeight="14.4" x14ac:dyDescent="0.3"/>
  <cols>
    <col min="1" max="1" width="9.109375" bestFit="1" customWidth="1"/>
    <col min="2" max="2" width="9.77734375" bestFit="1" customWidth="1"/>
    <col min="3" max="3" width="18.77734375" bestFit="1" customWidth="1"/>
    <col min="4" max="4" width="7.33203125" bestFit="1" customWidth="1"/>
    <col min="5" max="6" width="20" customWidth="1"/>
    <col min="7" max="7" width="25.77734375" bestFit="1" customWidth="1"/>
    <col min="8" max="13" width="25.7773437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77734375" bestFit="1" customWidth="1"/>
    <col min="23" max="23" width="12.44140625" customWidth="1"/>
    <col min="24" max="24" width="33" bestFit="1" customWidth="1"/>
    <col min="25" max="26" width="37.77734375" customWidth="1"/>
  </cols>
  <sheetData>
    <row r="1" spans="1:28" x14ac:dyDescent="0.3">
      <c r="A1" s="5" t="s">
        <v>40</v>
      </c>
      <c r="B1" s="5" t="s">
        <v>41</v>
      </c>
      <c r="C1" s="5" t="s">
        <v>68</v>
      </c>
      <c r="D1" s="5" t="s">
        <v>43</v>
      </c>
      <c r="E1" s="331" t="s">
        <v>228</v>
      </c>
      <c r="F1" s="331" t="s">
        <v>229</v>
      </c>
      <c r="G1" s="331" t="s">
        <v>230</v>
      </c>
      <c r="H1" s="332" t="s">
        <v>231</v>
      </c>
      <c r="I1" s="332" t="s">
        <v>232</v>
      </c>
      <c r="J1" s="332" t="s">
        <v>233</v>
      </c>
      <c r="K1" s="330" t="s">
        <v>231</v>
      </c>
      <c r="L1" s="330" t="s">
        <v>232</v>
      </c>
      <c r="M1" s="330" t="s">
        <v>233</v>
      </c>
      <c r="N1" s="5" t="s">
        <v>234</v>
      </c>
      <c r="O1" s="5" t="s">
        <v>235</v>
      </c>
      <c r="P1" s="5" t="s">
        <v>236</v>
      </c>
      <c r="Q1" s="5" t="s">
        <v>237</v>
      </c>
      <c r="R1" s="5" t="s">
        <v>238</v>
      </c>
      <c r="S1" s="5" t="s">
        <v>239</v>
      </c>
      <c r="T1" s="7" t="s">
        <v>240</v>
      </c>
      <c r="U1" s="5" t="s">
        <v>241</v>
      </c>
      <c r="V1" s="5"/>
      <c r="W1" s="237" t="s">
        <v>242</v>
      </c>
      <c r="X1" s="5" t="s">
        <v>243</v>
      </c>
      <c r="Y1" s="5" t="s">
        <v>244</v>
      </c>
      <c r="Z1" s="5" t="s">
        <v>245</v>
      </c>
      <c r="AA1" s="5" t="s">
        <v>246</v>
      </c>
      <c r="AB1" s="5" t="s">
        <v>247</v>
      </c>
    </row>
    <row r="2" spans="1:28" x14ac:dyDescent="0.3">
      <c r="A2" s="1"/>
      <c r="B2" s="1"/>
      <c r="C2" s="1"/>
      <c r="D2" s="1"/>
      <c r="E2" s="1"/>
      <c r="F2" s="1"/>
      <c r="G2" s="1"/>
      <c r="H2" s="1"/>
      <c r="I2" s="1"/>
      <c r="J2" s="1"/>
      <c r="K2" s="1"/>
      <c r="L2" s="1"/>
      <c r="M2" s="1"/>
      <c r="N2" s="10"/>
      <c r="O2" s="1"/>
      <c r="P2" s="3"/>
      <c r="R2" s="1"/>
      <c r="T2" s="6" t="s">
        <v>248</v>
      </c>
      <c r="U2" s="1" t="s">
        <v>249</v>
      </c>
      <c r="V2" s="1"/>
      <c r="W2" s="3"/>
      <c r="X2" s="1"/>
      <c r="Y2" s="8" t="s">
        <v>89</v>
      </c>
      <c r="Z2" s="8" t="s">
        <v>89</v>
      </c>
      <c r="AA2" s="1"/>
      <c r="AB2" s="1"/>
    </row>
    <row r="3" spans="1:28" x14ac:dyDescent="0.3">
      <c r="A3" s="11">
        <f>'Site and production details'!C5</f>
        <v>0</v>
      </c>
      <c r="B3" s="11">
        <f>'Site and production details'!D5</f>
        <v>0</v>
      </c>
      <c r="C3" s="11">
        <f>'Site and production details'!E5</f>
        <v>0</v>
      </c>
      <c r="D3" s="11">
        <f>'Site and production details'!F5</f>
        <v>0</v>
      </c>
      <c r="E3" s="11" cm="1">
        <f t="array" ref="E3:G5">_xlfn.UNIQUE(A3:C77)</f>
        <v>0</v>
      </c>
      <c r="F3" s="11">
        <v>0</v>
      </c>
      <c r="G3" s="1">
        <v>0</v>
      </c>
      <c r="H3" s="1" t="str" cm="1">
        <f t="array" ref="H3:J48">IF(Table4[Type of treatment (select)]= "Antiparasitic - Sea lice", (CHOOSE({1,2,3},Table4[Species in production (Latin name) (select)],Table4[Cycle ID
(select)], Table4[Active component name])), "")</f>
        <v/>
      </c>
      <c r="I3" s="1" t="str">
        <v/>
      </c>
      <c r="J3" s="1" t="str">
        <v/>
      </c>
      <c r="K3" s="1" t="str" cm="1">
        <f t="array" ref="K3">IFERROR(_xlfn._xlws.FILTER(_xlfn.VSTACK(H3:J77), _xlfn.VSTACK(H3:H77)&lt;&gt;""), "")</f>
        <v/>
      </c>
      <c r="L3" s="1"/>
      <c r="M3" s="1"/>
      <c r="N3" s="10" t="s">
        <v>250</v>
      </c>
      <c r="O3" s="1" t="s">
        <v>251</v>
      </c>
      <c r="P3" s="99" t="s">
        <v>252</v>
      </c>
      <c r="Q3" s="1" t="s">
        <v>253</v>
      </c>
      <c r="R3" s="12" t="s">
        <v>254</v>
      </c>
      <c r="S3" s="12" t="s">
        <v>255</v>
      </c>
      <c r="T3" s="6" t="s">
        <v>256</v>
      </c>
      <c r="U3" s="1" t="s">
        <v>257</v>
      </c>
      <c r="V3" s="1"/>
      <c r="W3" s="3" t="s">
        <v>258</v>
      </c>
      <c r="X3" s="1" t="s">
        <v>259</v>
      </c>
      <c r="Y3" s="1" t="s">
        <v>109</v>
      </c>
      <c r="Z3" s="1" t="s">
        <v>136</v>
      </c>
      <c r="AA3" s="1" t="s">
        <v>260</v>
      </c>
      <c r="AB3" s="1" t="s">
        <v>261</v>
      </c>
    </row>
    <row r="4" spans="1:28" x14ac:dyDescent="0.3">
      <c r="A4" s="11">
        <f>'Site and production details'!C6</f>
        <v>0</v>
      </c>
      <c r="B4" s="11" t="str">
        <f>'Site and production details'!D6</f>
        <v/>
      </c>
      <c r="C4" s="11">
        <f>'Site and production details'!E6</f>
        <v>0</v>
      </c>
      <c r="D4" s="11">
        <f>'Site and production details'!F6</f>
        <v>0</v>
      </c>
      <c r="E4" s="11">
        <v>0</v>
      </c>
      <c r="F4" s="11" t="str">
        <v/>
      </c>
      <c r="G4" s="1">
        <v>0</v>
      </c>
      <c r="H4" s="1" t="str">
        <v/>
      </c>
      <c r="I4" s="1" t="str">
        <v/>
      </c>
      <c r="J4" s="1" t="str">
        <v/>
      </c>
      <c r="K4" s="1"/>
      <c r="L4" s="1"/>
      <c r="M4" s="1"/>
      <c r="N4" s="10" t="s">
        <v>262</v>
      </c>
      <c r="O4" s="1" t="s">
        <v>263</v>
      </c>
      <c r="P4" s="99" t="s">
        <v>264</v>
      </c>
      <c r="Q4" s="1" t="s">
        <v>265</v>
      </c>
      <c r="R4" s="12" t="s">
        <v>266</v>
      </c>
      <c r="S4" s="12" t="s">
        <v>267</v>
      </c>
      <c r="T4" s="6" t="s">
        <v>268</v>
      </c>
      <c r="U4" s="1" t="s">
        <v>53</v>
      </c>
      <c r="V4" s="1"/>
      <c r="W4" s="3" t="s">
        <v>269</v>
      </c>
      <c r="X4" s="1" t="s">
        <v>270</v>
      </c>
      <c r="Y4" t="s">
        <v>110</v>
      </c>
      <c r="Z4" s="1" t="s">
        <v>138</v>
      </c>
      <c r="AA4" s="1" t="s">
        <v>271</v>
      </c>
      <c r="AB4" s="1" t="s">
        <v>272</v>
      </c>
    </row>
    <row r="5" spans="1:28" x14ac:dyDescent="0.3">
      <c r="A5" s="11">
        <f>'Site and production details'!C7</f>
        <v>0</v>
      </c>
      <c r="B5" s="11" t="str">
        <f>'Site and production details'!D7</f>
        <v/>
      </c>
      <c r="C5" s="11">
        <f>'Site and production details'!E7</f>
        <v>0</v>
      </c>
      <c r="D5" s="11">
        <f>'Site and production details'!F7</f>
        <v>0</v>
      </c>
      <c r="E5" s="11">
        <v>0</v>
      </c>
      <c r="F5" s="11">
        <v>0</v>
      </c>
      <c r="G5" s="1">
        <v>0</v>
      </c>
      <c r="H5" s="1" t="str">
        <v/>
      </c>
      <c r="I5" s="1" t="str">
        <v/>
      </c>
      <c r="J5" s="1" t="str">
        <v/>
      </c>
      <c r="K5" s="1"/>
      <c r="L5" s="1"/>
      <c r="M5" s="1"/>
      <c r="O5" s="1" t="s">
        <v>273</v>
      </c>
      <c r="P5" s="99" t="s">
        <v>274</v>
      </c>
      <c r="Q5" s="1" t="s">
        <v>275</v>
      </c>
      <c r="R5" s="12" t="s">
        <v>276</v>
      </c>
      <c r="S5" s="12"/>
      <c r="T5" s="6" t="s">
        <v>277</v>
      </c>
      <c r="U5" s="1" t="s">
        <v>278</v>
      </c>
      <c r="V5" s="1"/>
      <c r="W5" s="4" t="s">
        <v>279</v>
      </c>
      <c r="X5" s="1" t="s">
        <v>280</v>
      </c>
      <c r="Y5" s="1" t="s">
        <v>93</v>
      </c>
      <c r="Z5" s="1" t="s">
        <v>139</v>
      </c>
      <c r="AA5" s="1" t="s">
        <v>281</v>
      </c>
      <c r="AB5" s="1" t="s">
        <v>282</v>
      </c>
    </row>
    <row r="6" spans="1:28" x14ac:dyDescent="0.3">
      <c r="A6" s="11">
        <f>'Site and production details'!C8</f>
        <v>0</v>
      </c>
      <c r="B6" s="11" t="str">
        <f>'Site and production details'!D8</f>
        <v/>
      </c>
      <c r="C6" s="11">
        <f>'Site and production details'!E8</f>
        <v>0</v>
      </c>
      <c r="D6" s="11">
        <f>'Site and production details'!F8</f>
        <v>0</v>
      </c>
      <c r="E6" s="11"/>
      <c r="F6" s="11"/>
      <c r="G6" s="1"/>
      <c r="H6" s="1" t="str">
        <v/>
      </c>
      <c r="I6" s="1" t="str">
        <v/>
      </c>
      <c r="J6" s="1" t="str">
        <v/>
      </c>
      <c r="K6" s="1"/>
      <c r="L6" s="1"/>
      <c r="M6" s="1"/>
      <c r="O6" s="1" t="s">
        <v>283</v>
      </c>
      <c r="P6" s="99" t="s">
        <v>284</v>
      </c>
      <c r="Q6" s="1" t="s">
        <v>285</v>
      </c>
      <c r="R6" s="9" t="s">
        <v>286</v>
      </c>
      <c r="S6" s="9"/>
      <c r="T6" s="6" t="s">
        <v>287</v>
      </c>
      <c r="U6" s="1" t="s">
        <v>288</v>
      </c>
      <c r="V6" s="1"/>
      <c r="W6" s="3" t="s">
        <v>289</v>
      </c>
      <c r="Y6" s="1"/>
      <c r="Z6" s="1" t="s">
        <v>140</v>
      </c>
      <c r="AA6" s="1" t="s">
        <v>290</v>
      </c>
      <c r="AB6" s="1" t="s">
        <v>291</v>
      </c>
    </row>
    <row r="7" spans="1:28" x14ac:dyDescent="0.3">
      <c r="A7" s="11">
        <f>'Site and production details'!C9</f>
        <v>0</v>
      </c>
      <c r="B7" s="11" t="str">
        <f>'Site and production details'!D9</f>
        <v/>
      </c>
      <c r="C7" s="11">
        <f>'Site and production details'!E9</f>
        <v>0</v>
      </c>
      <c r="D7" s="11">
        <f>'Site and production details'!F9</f>
        <v>0</v>
      </c>
      <c r="E7" s="11"/>
      <c r="F7" s="11"/>
      <c r="G7" s="1"/>
      <c r="H7" s="1" t="str">
        <v/>
      </c>
      <c r="I7" s="1" t="str">
        <v/>
      </c>
      <c r="J7" s="1" t="str">
        <v/>
      </c>
      <c r="K7" s="1"/>
      <c r="L7" s="1"/>
      <c r="M7" s="1"/>
      <c r="O7" s="1" t="s">
        <v>292</v>
      </c>
      <c r="P7" s="99" t="s">
        <v>293</v>
      </c>
      <c r="Q7" s="9" t="s">
        <v>294</v>
      </c>
      <c r="R7" s="9"/>
      <c r="S7" s="9"/>
      <c r="T7" s="6" t="s">
        <v>295</v>
      </c>
      <c r="U7" s="1" t="s">
        <v>296</v>
      </c>
      <c r="V7" s="1"/>
      <c r="Y7" s="1"/>
      <c r="Z7" s="1" t="s">
        <v>141</v>
      </c>
    </row>
    <row r="8" spans="1:28" x14ac:dyDescent="0.3">
      <c r="A8" s="11">
        <f>'Site and production details'!C10</f>
        <v>0</v>
      </c>
      <c r="B8" s="11" t="str">
        <f>'Site and production details'!D10</f>
        <v/>
      </c>
      <c r="C8" s="11">
        <f>'Site and production details'!E10</f>
        <v>0</v>
      </c>
      <c r="D8" s="11">
        <f>'Site and production details'!F10</f>
        <v>0</v>
      </c>
      <c r="E8" s="11"/>
      <c r="F8" s="11"/>
      <c r="G8" s="1"/>
      <c r="H8" s="1" t="str">
        <v/>
      </c>
      <c r="I8" s="1" t="str">
        <v/>
      </c>
      <c r="J8" s="1" t="str">
        <v/>
      </c>
      <c r="K8" s="1"/>
      <c r="L8" s="1"/>
      <c r="M8" s="1"/>
      <c r="O8" s="1" t="s">
        <v>297</v>
      </c>
      <c r="P8" s="1" t="s">
        <v>298</v>
      </c>
      <c r="Q8" s="9"/>
      <c r="R8" s="1"/>
      <c r="S8" s="1"/>
      <c r="T8" s="6" t="s">
        <v>299</v>
      </c>
      <c r="U8" s="1" t="s">
        <v>300</v>
      </c>
      <c r="V8" s="1"/>
      <c r="Y8" s="1"/>
      <c r="Z8" s="1" t="s">
        <v>142</v>
      </c>
    </row>
    <row r="9" spans="1:28" x14ac:dyDescent="0.3">
      <c r="A9" s="11"/>
      <c r="B9" s="11"/>
      <c r="C9" s="11"/>
      <c r="D9" s="11"/>
      <c r="E9" s="11"/>
      <c r="F9" s="11"/>
      <c r="G9" s="1"/>
      <c r="H9" s="1" t="str">
        <v/>
      </c>
      <c r="I9" s="1" t="str">
        <v/>
      </c>
      <c r="J9" s="1" t="str">
        <v/>
      </c>
      <c r="K9" s="1"/>
      <c r="L9" s="1"/>
      <c r="M9" s="1"/>
      <c r="O9" s="1" t="s">
        <v>301</v>
      </c>
      <c r="Q9" s="1"/>
      <c r="T9" s="6" t="s">
        <v>302</v>
      </c>
      <c r="U9" s="1" t="s">
        <v>303</v>
      </c>
      <c r="V9" s="1"/>
      <c r="Y9" s="1"/>
      <c r="Z9" s="1" t="s">
        <v>143</v>
      </c>
    </row>
    <row r="10" spans="1:28" x14ac:dyDescent="0.3">
      <c r="A10" s="11"/>
      <c r="B10" s="11"/>
      <c r="C10" s="11"/>
      <c r="D10" s="11"/>
      <c r="E10" s="11"/>
      <c r="F10" s="11"/>
      <c r="G10" s="1"/>
      <c r="H10" s="1" t="str">
        <v/>
      </c>
      <c r="I10" s="1" t="str">
        <v/>
      </c>
      <c r="J10" s="1" t="str">
        <v/>
      </c>
      <c r="K10" s="1"/>
      <c r="L10" s="1"/>
      <c r="M10" s="1"/>
      <c r="O10" s="1" t="s">
        <v>304</v>
      </c>
      <c r="Q10" s="1"/>
      <c r="U10" s="1" t="s">
        <v>305</v>
      </c>
      <c r="V10" s="1"/>
      <c r="Y10" s="1"/>
      <c r="Z10" s="1" t="s">
        <v>144</v>
      </c>
    </row>
    <row r="11" spans="1:28" x14ac:dyDescent="0.3">
      <c r="A11" s="11"/>
      <c r="B11" s="11"/>
      <c r="C11" s="11"/>
      <c r="D11" s="11"/>
      <c r="E11" s="11"/>
      <c r="F11" s="11"/>
      <c r="G11" s="1"/>
      <c r="H11" s="1" t="str">
        <v/>
      </c>
      <c r="I11" s="1" t="str">
        <v/>
      </c>
      <c r="J11" s="6" t="str">
        <v/>
      </c>
      <c r="K11" s="1"/>
      <c r="L11" s="1"/>
      <c r="M11" s="1"/>
      <c r="O11" s="1" t="s">
        <v>306</v>
      </c>
      <c r="U11" s="1" t="s">
        <v>307</v>
      </c>
      <c r="V11" s="1"/>
      <c r="Y11" s="1"/>
      <c r="Z11" s="1" t="s">
        <v>145</v>
      </c>
    </row>
    <row r="12" spans="1:28" x14ac:dyDescent="0.3">
      <c r="A12" s="11"/>
      <c r="B12" s="11"/>
      <c r="C12" s="11"/>
      <c r="D12" s="11"/>
      <c r="E12" s="11"/>
      <c r="F12" s="11"/>
      <c r="G12" s="1"/>
      <c r="H12" s="1" t="str">
        <v/>
      </c>
      <c r="I12" s="1" t="str">
        <v/>
      </c>
      <c r="J12" s="6" t="str">
        <v/>
      </c>
      <c r="K12" s="1"/>
      <c r="L12" s="1"/>
      <c r="M12" s="1"/>
      <c r="O12" s="1" t="s">
        <v>308</v>
      </c>
      <c r="U12" s="1" t="s">
        <v>309</v>
      </c>
      <c r="V12" s="1"/>
      <c r="Y12" s="1"/>
      <c r="Z12" s="1" t="s">
        <v>146</v>
      </c>
    </row>
    <row r="13" spans="1:28" x14ac:dyDescent="0.3">
      <c r="A13" s="11"/>
      <c r="B13" s="11"/>
      <c r="C13" s="11"/>
      <c r="D13" s="11"/>
      <c r="E13" s="11"/>
      <c r="F13" s="11"/>
      <c r="G13" s="1"/>
      <c r="H13" s="1" t="str">
        <v/>
      </c>
      <c r="I13" s="1" t="str">
        <v/>
      </c>
      <c r="J13" s="6" t="str">
        <v/>
      </c>
      <c r="K13" s="1"/>
      <c r="L13" s="1"/>
      <c r="M13" s="1"/>
      <c r="O13" s="1" t="s">
        <v>310</v>
      </c>
      <c r="U13" s="1" t="s">
        <v>311</v>
      </c>
      <c r="V13" s="1"/>
      <c r="Y13" s="1"/>
      <c r="Z13" s="1" t="s">
        <v>147</v>
      </c>
    </row>
    <row r="14" spans="1:28" x14ac:dyDescent="0.3">
      <c r="A14" s="11"/>
      <c r="B14" s="11"/>
      <c r="C14" s="11"/>
      <c r="D14" s="11"/>
      <c r="E14" s="11"/>
      <c r="F14" s="11"/>
      <c r="G14" s="1"/>
      <c r="H14" s="1" t="str">
        <v/>
      </c>
      <c r="I14" s="1" t="str">
        <v/>
      </c>
      <c r="J14" s="6" t="str">
        <v/>
      </c>
      <c r="K14" s="1"/>
      <c r="L14" s="1"/>
      <c r="M14" s="1"/>
      <c r="U14" s="1" t="s">
        <v>312</v>
      </c>
      <c r="V14" s="1"/>
      <c r="Y14" s="1"/>
      <c r="Z14" s="1" t="s">
        <v>149</v>
      </c>
    </row>
    <row r="15" spans="1:28" x14ac:dyDescent="0.3">
      <c r="A15" s="11"/>
      <c r="B15" s="11"/>
      <c r="C15" s="11"/>
      <c r="D15" s="11"/>
      <c r="E15" s="11"/>
      <c r="F15" s="11"/>
      <c r="G15" s="1"/>
      <c r="H15" s="1" t="str">
        <v/>
      </c>
      <c r="I15" s="1" t="str">
        <v/>
      </c>
      <c r="J15" s="6" t="str">
        <v/>
      </c>
      <c r="K15" s="1"/>
      <c r="L15" s="1"/>
      <c r="M15" s="1"/>
      <c r="U15" s="1" t="s">
        <v>313</v>
      </c>
      <c r="V15" s="1"/>
      <c r="Y15" s="1"/>
      <c r="Z15" s="1" t="s">
        <v>150</v>
      </c>
    </row>
    <row r="16" spans="1:28" x14ac:dyDescent="0.3">
      <c r="A16" s="11"/>
      <c r="B16" s="11"/>
      <c r="C16" s="11"/>
      <c r="D16" s="11"/>
      <c r="E16" s="11"/>
      <c r="F16" s="11"/>
      <c r="G16" s="1"/>
      <c r="H16" s="1" t="str">
        <v/>
      </c>
      <c r="I16" s="1" t="str">
        <v/>
      </c>
      <c r="J16" s="6" t="str">
        <v/>
      </c>
      <c r="K16" s="1"/>
      <c r="L16" s="1"/>
      <c r="M16" s="1"/>
      <c r="U16" s="1" t="s">
        <v>314</v>
      </c>
      <c r="V16" s="1"/>
      <c r="Y16" s="1"/>
      <c r="Z16" s="1" t="s">
        <v>151</v>
      </c>
    </row>
    <row r="17" spans="1:25" x14ac:dyDescent="0.3">
      <c r="A17" s="11"/>
      <c r="B17" s="11"/>
      <c r="C17" s="11"/>
      <c r="D17" s="11"/>
      <c r="E17" s="11"/>
      <c r="F17" s="11"/>
      <c r="G17" s="1"/>
      <c r="H17" s="1" t="str">
        <v/>
      </c>
      <c r="I17" s="1" t="str">
        <v/>
      </c>
      <c r="J17" s="6" t="str">
        <v/>
      </c>
      <c r="K17" s="1"/>
      <c r="L17" s="1"/>
      <c r="M17" s="1"/>
      <c r="U17" s="1" t="s">
        <v>315</v>
      </c>
      <c r="V17" s="1"/>
      <c r="Y17" s="1"/>
    </row>
    <row r="18" spans="1:25" x14ac:dyDescent="0.3">
      <c r="A18" s="11"/>
      <c r="B18" s="11"/>
      <c r="C18" s="11"/>
      <c r="D18" s="11"/>
      <c r="E18" s="11"/>
      <c r="F18" s="11"/>
      <c r="G18" s="1"/>
      <c r="H18" s="1" t="str">
        <v/>
      </c>
      <c r="I18" s="1" t="str">
        <v/>
      </c>
      <c r="J18" s="6" t="str">
        <v/>
      </c>
      <c r="K18" s="1"/>
      <c r="L18" s="1"/>
      <c r="M18" s="1"/>
      <c r="U18" s="1" t="s">
        <v>316</v>
      </c>
      <c r="V18" s="1"/>
      <c r="Y18" s="1"/>
    </row>
    <row r="19" spans="1:25" x14ac:dyDescent="0.3">
      <c r="A19" s="11"/>
      <c r="B19" s="11"/>
      <c r="C19" s="11"/>
      <c r="D19" s="11"/>
      <c r="E19" s="11"/>
      <c r="F19" s="11"/>
      <c r="G19" s="1"/>
      <c r="H19" s="1" t="str">
        <v/>
      </c>
      <c r="I19" s="1" t="str">
        <v/>
      </c>
      <c r="J19" s="6" t="str">
        <v/>
      </c>
      <c r="K19" s="1"/>
      <c r="L19" s="1"/>
      <c r="M19" s="1"/>
      <c r="P19" s="2"/>
      <c r="U19" s="1" t="s">
        <v>317</v>
      </c>
      <c r="V19" s="1"/>
    </row>
    <row r="20" spans="1:25" x14ac:dyDescent="0.3">
      <c r="A20" s="11"/>
      <c r="B20" s="11"/>
      <c r="C20" s="11"/>
      <c r="D20" s="11"/>
      <c r="E20" s="11"/>
      <c r="F20" s="11"/>
      <c r="G20" s="1"/>
      <c r="H20" s="1" t="str">
        <v/>
      </c>
      <c r="I20" s="1" t="str">
        <v/>
      </c>
      <c r="J20" s="6" t="str">
        <v/>
      </c>
      <c r="K20" s="1"/>
      <c r="L20" s="1"/>
      <c r="M20" s="1"/>
      <c r="U20" s="1" t="s">
        <v>318</v>
      </c>
      <c r="V20" s="1"/>
    </row>
    <row r="21" spans="1:25" x14ac:dyDescent="0.3">
      <c r="A21" s="11"/>
      <c r="B21" s="11"/>
      <c r="C21" s="11"/>
      <c r="D21" s="11"/>
      <c r="E21" s="11"/>
      <c r="F21" s="11"/>
      <c r="G21" s="1"/>
      <c r="H21" s="1" t="str">
        <v/>
      </c>
      <c r="I21" s="1" t="str">
        <v/>
      </c>
      <c r="J21" s="6" t="str">
        <v/>
      </c>
      <c r="K21" s="1"/>
      <c r="L21" s="1"/>
      <c r="M21" s="1"/>
      <c r="U21" s="1" t="s">
        <v>319</v>
      </c>
      <c r="V21" s="1"/>
    </row>
    <row r="22" spans="1:25" x14ac:dyDescent="0.3">
      <c r="A22" s="11"/>
      <c r="B22" s="11"/>
      <c r="C22" s="11"/>
      <c r="D22" s="11"/>
      <c r="E22" s="11"/>
      <c r="F22" s="11"/>
      <c r="G22" s="1"/>
      <c r="H22" s="1" t="str">
        <v/>
      </c>
      <c r="I22" s="1" t="str">
        <v/>
      </c>
      <c r="J22" s="6" t="str">
        <v/>
      </c>
      <c r="K22" s="1"/>
      <c r="L22" s="1"/>
      <c r="M22" s="1"/>
      <c r="U22" s="1" t="s">
        <v>320</v>
      </c>
      <c r="V22" s="1"/>
    </row>
    <row r="23" spans="1:25" x14ac:dyDescent="0.3">
      <c r="A23" s="11"/>
      <c r="B23" s="11"/>
      <c r="C23" s="11"/>
      <c r="D23" s="11"/>
      <c r="E23" s="11"/>
      <c r="F23" s="11"/>
      <c r="G23" s="1"/>
      <c r="H23" s="1" t="str">
        <v/>
      </c>
      <c r="I23" s="1" t="str">
        <v/>
      </c>
      <c r="J23" s="6" t="str">
        <v/>
      </c>
      <c r="K23" s="1"/>
      <c r="L23" s="1"/>
      <c r="M23" s="1"/>
      <c r="U23" s="1" t="s">
        <v>321</v>
      </c>
      <c r="V23" s="1"/>
    </row>
    <row r="24" spans="1:25" x14ac:dyDescent="0.3">
      <c r="A24" s="11"/>
      <c r="B24" s="11"/>
      <c r="C24" s="11"/>
      <c r="D24" s="11"/>
      <c r="E24" s="11"/>
      <c r="F24" s="11"/>
      <c r="G24" s="1"/>
      <c r="H24" s="1" t="str">
        <v/>
      </c>
      <c r="I24" s="1" t="str">
        <v/>
      </c>
      <c r="J24" s="6" t="str">
        <v/>
      </c>
      <c r="K24" s="1"/>
      <c r="L24" s="1"/>
      <c r="M24" s="1"/>
      <c r="U24" s="1" t="s">
        <v>322</v>
      </c>
      <c r="V24" s="1"/>
    </row>
    <row r="25" spans="1:25" x14ac:dyDescent="0.3">
      <c r="A25" s="11"/>
      <c r="B25" s="11"/>
      <c r="C25" s="11"/>
      <c r="D25" s="11"/>
      <c r="E25" s="11"/>
      <c r="F25" s="11"/>
      <c r="G25" s="1"/>
      <c r="H25" s="1" t="str">
        <v/>
      </c>
      <c r="I25" s="1" t="str">
        <v/>
      </c>
      <c r="J25" s="6" t="str">
        <v/>
      </c>
      <c r="K25" s="1"/>
      <c r="L25" s="1"/>
      <c r="M25" s="1"/>
      <c r="U25" s="1" t="s">
        <v>323</v>
      </c>
      <c r="V25" s="1"/>
    </row>
    <row r="26" spans="1:25" x14ac:dyDescent="0.3">
      <c r="A26" s="11"/>
      <c r="B26" s="11"/>
      <c r="C26" s="11"/>
      <c r="D26" s="11"/>
      <c r="E26" s="11"/>
      <c r="F26" s="11"/>
      <c r="G26" s="1"/>
      <c r="H26" s="1" t="str">
        <v/>
      </c>
      <c r="I26" s="1" t="str">
        <v/>
      </c>
      <c r="J26" s="6" t="str">
        <v/>
      </c>
      <c r="K26" s="1"/>
      <c r="L26" s="1"/>
      <c r="M26" s="1"/>
      <c r="U26" s="1" t="s">
        <v>324</v>
      </c>
      <c r="V26" s="1"/>
    </row>
    <row r="27" spans="1:25" x14ac:dyDescent="0.3">
      <c r="A27" s="11"/>
      <c r="B27" s="11"/>
      <c r="C27" s="11"/>
      <c r="D27" s="11"/>
      <c r="E27" s="11"/>
      <c r="F27" s="11"/>
      <c r="G27" s="1"/>
      <c r="H27" s="1" t="str">
        <v/>
      </c>
      <c r="I27" s="1" t="str">
        <v/>
      </c>
      <c r="J27" s="6" t="str">
        <v/>
      </c>
      <c r="K27" s="1"/>
      <c r="L27" s="1"/>
      <c r="M27" s="1"/>
      <c r="U27" s="1" t="s">
        <v>325</v>
      </c>
      <c r="V27" s="1"/>
    </row>
    <row r="28" spans="1:25" x14ac:dyDescent="0.3">
      <c r="A28" s="11"/>
      <c r="B28" s="11"/>
      <c r="C28" s="11"/>
      <c r="D28" s="11"/>
      <c r="E28" s="11"/>
      <c r="F28" s="11"/>
      <c r="G28" s="1"/>
      <c r="H28" s="1" t="str">
        <v/>
      </c>
      <c r="I28" s="1" t="str">
        <v/>
      </c>
      <c r="J28" s="6" t="str">
        <v/>
      </c>
      <c r="K28" s="1"/>
      <c r="L28" s="1"/>
      <c r="M28" s="1"/>
      <c r="U28" s="1" t="s">
        <v>326</v>
      </c>
      <c r="V28" s="1"/>
    </row>
    <row r="29" spans="1:25" x14ac:dyDescent="0.3">
      <c r="A29" s="11"/>
      <c r="B29" s="11"/>
      <c r="C29" s="11"/>
      <c r="D29" s="11"/>
      <c r="E29" s="11"/>
      <c r="F29" s="11"/>
      <c r="G29" s="1"/>
      <c r="H29" s="1" t="str">
        <v/>
      </c>
      <c r="I29" s="1" t="str">
        <v/>
      </c>
      <c r="J29" s="6" t="str">
        <v/>
      </c>
      <c r="K29" s="1"/>
      <c r="L29" s="1"/>
      <c r="M29" s="1"/>
      <c r="U29" s="1" t="s">
        <v>327</v>
      </c>
      <c r="V29" s="1"/>
    </row>
    <row r="30" spans="1:25" x14ac:dyDescent="0.3">
      <c r="A30" s="11"/>
      <c r="B30" s="11"/>
      <c r="C30" s="11"/>
      <c r="D30" s="11"/>
      <c r="E30" s="11"/>
      <c r="F30" s="11"/>
      <c r="G30" s="1"/>
      <c r="H30" s="1" t="str">
        <v/>
      </c>
      <c r="I30" s="1" t="str">
        <v/>
      </c>
      <c r="J30" s="6" t="str">
        <v/>
      </c>
      <c r="K30" s="1"/>
      <c r="L30" s="1"/>
      <c r="M30" s="1"/>
      <c r="U30" s="1" t="s">
        <v>328</v>
      </c>
      <c r="V30" s="1"/>
    </row>
    <row r="31" spans="1:25" x14ac:dyDescent="0.3">
      <c r="A31" s="11"/>
      <c r="B31" s="11"/>
      <c r="C31" s="11"/>
      <c r="D31" s="11"/>
      <c r="E31" s="11"/>
      <c r="F31" s="11"/>
      <c r="G31" s="1"/>
      <c r="H31" s="1" t="str">
        <v/>
      </c>
      <c r="I31" s="1" t="str">
        <v/>
      </c>
      <c r="J31" s="6" t="str">
        <v/>
      </c>
      <c r="K31" s="1"/>
      <c r="L31" s="1"/>
      <c r="M31" s="1"/>
      <c r="U31" s="1" t="s">
        <v>329</v>
      </c>
      <c r="V31" s="1"/>
    </row>
    <row r="32" spans="1:25" x14ac:dyDescent="0.3">
      <c r="A32" s="11"/>
      <c r="B32" s="11"/>
      <c r="C32" s="11"/>
      <c r="D32" s="11"/>
      <c r="E32" s="11"/>
      <c r="F32" s="11"/>
      <c r="G32" s="1"/>
      <c r="H32" s="1" t="str">
        <v/>
      </c>
      <c r="I32" s="1" t="str">
        <v/>
      </c>
      <c r="J32" s="6" t="str">
        <v/>
      </c>
      <c r="K32" s="1"/>
      <c r="L32" s="1"/>
      <c r="M32" s="1"/>
      <c r="U32" s="1" t="s">
        <v>330</v>
      </c>
      <c r="V32" s="1"/>
    </row>
    <row r="33" spans="1:22" x14ac:dyDescent="0.3">
      <c r="A33" s="11"/>
      <c r="B33" s="11"/>
      <c r="C33" s="11"/>
      <c r="D33" s="11"/>
      <c r="E33" s="11"/>
      <c r="F33" s="11"/>
      <c r="G33" s="1"/>
      <c r="H33" s="1" t="str">
        <v/>
      </c>
      <c r="I33" s="1" t="str">
        <v/>
      </c>
      <c r="J33" s="6" t="str">
        <v/>
      </c>
      <c r="K33" s="1"/>
      <c r="L33" s="1"/>
      <c r="M33" s="1"/>
      <c r="U33" s="1" t="s">
        <v>331</v>
      </c>
      <c r="V33" s="1"/>
    </row>
    <row r="34" spans="1:22" x14ac:dyDescent="0.3">
      <c r="A34" s="11"/>
      <c r="B34" s="11"/>
      <c r="C34" s="11"/>
      <c r="D34" s="11"/>
      <c r="E34" s="11"/>
      <c r="F34" s="11"/>
      <c r="G34" s="1"/>
      <c r="H34" s="1" t="str">
        <v/>
      </c>
      <c r="I34" s="1" t="str">
        <v/>
      </c>
      <c r="J34" s="6" t="str">
        <v/>
      </c>
      <c r="K34" s="1"/>
      <c r="L34" s="1"/>
      <c r="M34" s="1"/>
      <c r="U34" s="1" t="s">
        <v>332</v>
      </c>
      <c r="V34" s="1"/>
    </row>
    <row r="35" spans="1:22" x14ac:dyDescent="0.3">
      <c r="A35" s="11"/>
      <c r="B35" s="11"/>
      <c r="C35" s="11"/>
      <c r="D35" s="11"/>
      <c r="E35" s="11"/>
      <c r="F35" s="11"/>
      <c r="G35" s="1"/>
      <c r="H35" s="1" t="str">
        <v/>
      </c>
      <c r="I35" s="1" t="str">
        <v/>
      </c>
      <c r="J35" s="6" t="str">
        <v/>
      </c>
      <c r="K35" s="1"/>
      <c r="L35" s="1"/>
      <c r="M35" s="1"/>
      <c r="U35" s="1" t="s">
        <v>333</v>
      </c>
      <c r="V35" s="1"/>
    </row>
    <row r="36" spans="1:22" x14ac:dyDescent="0.3">
      <c r="A36" s="11"/>
      <c r="B36" s="11"/>
      <c r="C36" s="11"/>
      <c r="D36" s="11"/>
      <c r="E36" s="11"/>
      <c r="F36" s="11"/>
      <c r="G36" s="1"/>
      <c r="H36" s="1" t="str">
        <v/>
      </c>
      <c r="I36" s="1" t="str">
        <v/>
      </c>
      <c r="J36" s="6" t="str">
        <v/>
      </c>
      <c r="K36" s="1"/>
      <c r="L36" s="1"/>
      <c r="M36" s="1"/>
      <c r="U36" s="1" t="s">
        <v>334</v>
      </c>
      <c r="V36" s="1"/>
    </row>
    <row r="37" spans="1:22" x14ac:dyDescent="0.3">
      <c r="A37" s="11"/>
      <c r="B37" s="11"/>
      <c r="C37" s="11"/>
      <c r="D37" s="11"/>
      <c r="E37" s="11"/>
      <c r="F37" s="11"/>
      <c r="G37" s="1"/>
      <c r="H37" s="1" t="str">
        <v/>
      </c>
      <c r="I37" s="1" t="str">
        <v/>
      </c>
      <c r="J37" s="6" t="str">
        <v/>
      </c>
      <c r="K37" s="1"/>
      <c r="L37" s="1"/>
      <c r="M37" s="1"/>
      <c r="U37" s="1" t="s">
        <v>335</v>
      </c>
      <c r="V37" s="1"/>
    </row>
    <row r="38" spans="1:22" x14ac:dyDescent="0.3">
      <c r="A38" s="11"/>
      <c r="B38" s="11"/>
      <c r="C38" s="11"/>
      <c r="D38" s="11"/>
      <c r="E38" s="11"/>
      <c r="F38" s="11"/>
      <c r="G38" s="1"/>
      <c r="H38" s="1" t="str">
        <v/>
      </c>
      <c r="I38" s="1" t="str">
        <v/>
      </c>
      <c r="J38" s="6" t="str">
        <v/>
      </c>
      <c r="K38" s="1"/>
      <c r="L38" s="1"/>
      <c r="M38" s="1"/>
      <c r="U38" s="1" t="s">
        <v>336</v>
      </c>
      <c r="V38" s="1"/>
    </row>
    <row r="39" spans="1:22" x14ac:dyDescent="0.3">
      <c r="A39" s="11"/>
      <c r="B39" s="11"/>
      <c r="C39" s="11"/>
      <c r="D39" s="11"/>
      <c r="E39" s="11"/>
      <c r="F39" s="11"/>
      <c r="G39" s="1"/>
      <c r="H39" s="1" t="str">
        <v/>
      </c>
      <c r="I39" s="1" t="str">
        <v/>
      </c>
      <c r="J39" s="6" t="str">
        <v/>
      </c>
      <c r="K39" s="1"/>
      <c r="L39" s="1"/>
      <c r="M39" s="1"/>
      <c r="U39" s="1" t="s">
        <v>337</v>
      </c>
      <c r="V39" s="1"/>
    </row>
    <row r="40" spans="1:22" x14ac:dyDescent="0.3">
      <c r="A40" s="11"/>
      <c r="B40" s="11"/>
      <c r="C40" s="11"/>
      <c r="D40" s="11"/>
      <c r="E40" s="11"/>
      <c r="F40" s="11"/>
      <c r="G40" s="1"/>
      <c r="H40" s="1" t="str">
        <v/>
      </c>
      <c r="I40" s="1" t="str">
        <v/>
      </c>
      <c r="J40" s="6" t="str">
        <v/>
      </c>
      <c r="K40" s="1"/>
      <c r="L40" s="1"/>
      <c r="M40" s="1"/>
      <c r="U40" s="1" t="s">
        <v>338</v>
      </c>
      <c r="V40" s="1"/>
    </row>
    <row r="41" spans="1:22" x14ac:dyDescent="0.3">
      <c r="A41" s="11"/>
      <c r="B41" s="11"/>
      <c r="C41" s="11"/>
      <c r="D41" s="11"/>
      <c r="E41" s="11"/>
      <c r="F41" s="11"/>
      <c r="G41" s="1"/>
      <c r="H41" s="1" t="str">
        <v/>
      </c>
      <c r="I41" s="1" t="str">
        <v/>
      </c>
      <c r="J41" s="6" t="str">
        <v/>
      </c>
      <c r="K41" s="1"/>
      <c r="L41" s="1"/>
      <c r="M41" s="1"/>
      <c r="U41" s="1" t="s">
        <v>339</v>
      </c>
      <c r="V41" s="1"/>
    </row>
    <row r="42" spans="1:22" x14ac:dyDescent="0.3">
      <c r="A42" s="11"/>
      <c r="B42" s="11"/>
      <c r="C42" s="11"/>
      <c r="D42" s="11"/>
      <c r="E42" s="11"/>
      <c r="F42" s="11"/>
      <c r="G42" s="1"/>
      <c r="H42" s="1" t="str">
        <v/>
      </c>
      <c r="I42" s="1" t="str">
        <v/>
      </c>
      <c r="J42" s="6" t="str">
        <v/>
      </c>
      <c r="K42" s="1"/>
      <c r="L42" s="1"/>
      <c r="M42" s="1"/>
      <c r="U42" s="1" t="s">
        <v>340</v>
      </c>
      <c r="V42" s="1"/>
    </row>
    <row r="43" spans="1:22" x14ac:dyDescent="0.3">
      <c r="A43" s="11"/>
      <c r="B43" s="11"/>
      <c r="C43" s="11"/>
      <c r="D43" s="11"/>
      <c r="E43" s="11"/>
      <c r="F43" s="11"/>
      <c r="G43" s="1"/>
      <c r="H43" s="1" t="str">
        <v/>
      </c>
      <c r="I43" s="1" t="str">
        <v/>
      </c>
      <c r="J43" s="6" t="str">
        <v/>
      </c>
      <c r="K43" s="1"/>
      <c r="L43" s="1"/>
      <c r="M43" s="1"/>
      <c r="U43" s="1" t="s">
        <v>341</v>
      </c>
      <c r="V43" s="1"/>
    </row>
    <row r="44" spans="1:22" x14ac:dyDescent="0.3">
      <c r="A44" s="11"/>
      <c r="B44" s="11"/>
      <c r="C44" s="11"/>
      <c r="D44" s="11"/>
      <c r="E44" s="11"/>
      <c r="F44" s="11"/>
      <c r="G44" s="1"/>
      <c r="H44" s="1" t="str">
        <v/>
      </c>
      <c r="I44" s="1" t="str">
        <v/>
      </c>
      <c r="J44" s="6" t="str">
        <v/>
      </c>
      <c r="K44" s="1"/>
      <c r="L44" s="1"/>
      <c r="M44" s="1"/>
      <c r="U44" s="1" t="s">
        <v>342</v>
      </c>
      <c r="V44" s="1"/>
    </row>
    <row r="45" spans="1:22" x14ac:dyDescent="0.3">
      <c r="A45" s="11"/>
      <c r="B45" s="11"/>
      <c r="C45" s="11"/>
      <c r="D45" s="11"/>
      <c r="E45" s="11"/>
      <c r="F45" s="11"/>
      <c r="G45" s="1"/>
      <c r="H45" s="1" t="str">
        <v/>
      </c>
      <c r="I45" s="1" t="str">
        <v/>
      </c>
      <c r="J45" s="6" t="str">
        <v/>
      </c>
      <c r="K45" s="1"/>
      <c r="L45" s="1"/>
      <c r="M45" s="1"/>
      <c r="U45" s="1" t="s">
        <v>343</v>
      </c>
      <c r="V45" s="1"/>
    </row>
    <row r="46" spans="1:22" x14ac:dyDescent="0.3">
      <c r="A46" s="11"/>
      <c r="B46" s="11"/>
      <c r="C46" s="11"/>
      <c r="D46" s="11"/>
      <c r="E46" s="11"/>
      <c r="F46" s="11"/>
      <c r="G46" s="1"/>
      <c r="H46" s="1" t="str">
        <v/>
      </c>
      <c r="I46" s="1" t="str">
        <v/>
      </c>
      <c r="J46" s="6" t="str">
        <v/>
      </c>
      <c r="K46" s="1"/>
      <c r="L46" s="1"/>
      <c r="M46" s="1"/>
      <c r="U46" s="1" t="s">
        <v>344</v>
      </c>
      <c r="V46" s="1"/>
    </row>
    <row r="47" spans="1:22" x14ac:dyDescent="0.3">
      <c r="A47" s="11"/>
      <c r="B47" s="11"/>
      <c r="C47" s="11"/>
      <c r="D47" s="11"/>
      <c r="E47" s="11"/>
      <c r="F47" s="11"/>
      <c r="G47" s="1"/>
      <c r="H47" s="1" t="str">
        <v/>
      </c>
      <c r="I47" s="1" t="str">
        <v/>
      </c>
      <c r="J47" s="6" t="str">
        <v/>
      </c>
      <c r="K47" s="1"/>
      <c r="L47" s="1"/>
      <c r="M47" s="1"/>
      <c r="U47" s="1" t="s">
        <v>345</v>
      </c>
      <c r="V47" s="1"/>
    </row>
    <row r="48" spans="1:22" x14ac:dyDescent="0.3">
      <c r="A48" s="11"/>
      <c r="B48" s="11"/>
      <c r="C48" s="11"/>
      <c r="D48" s="11"/>
      <c r="E48" s="11"/>
      <c r="F48" s="11"/>
      <c r="G48" s="1"/>
      <c r="H48" s="1" t="str">
        <v/>
      </c>
      <c r="I48" s="1" t="str">
        <v/>
      </c>
      <c r="J48" s="6" t="str">
        <v/>
      </c>
      <c r="K48" s="1"/>
      <c r="L48" s="1"/>
      <c r="M48" s="1"/>
      <c r="U48" s="1" t="s">
        <v>346</v>
      </c>
      <c r="V48" s="1"/>
    </row>
    <row r="49" spans="1:22" x14ac:dyDescent="0.3">
      <c r="A49" s="11"/>
      <c r="B49" s="11"/>
      <c r="C49" s="11"/>
      <c r="D49" s="11"/>
      <c r="E49" s="11"/>
      <c r="F49" s="11"/>
      <c r="G49" s="1"/>
      <c r="H49" s="1"/>
      <c r="I49" s="1"/>
      <c r="J49" s="6"/>
      <c r="K49" s="1"/>
      <c r="L49" s="1"/>
      <c r="M49" s="1"/>
      <c r="U49" s="1" t="s">
        <v>347</v>
      </c>
      <c r="V49" s="1"/>
    </row>
    <row r="50" spans="1:22" x14ac:dyDescent="0.3">
      <c r="A50" s="11"/>
      <c r="B50" s="11"/>
      <c r="C50" s="11"/>
      <c r="D50" s="11"/>
      <c r="E50" s="11"/>
      <c r="F50" s="11"/>
      <c r="G50" s="1"/>
      <c r="H50" s="1"/>
      <c r="I50" s="1"/>
      <c r="J50" s="6"/>
      <c r="K50" s="1"/>
      <c r="L50" s="1"/>
      <c r="M50" s="1"/>
      <c r="U50" s="1" t="s">
        <v>348</v>
      </c>
      <c r="V50" s="1"/>
    </row>
    <row r="51" spans="1:22" x14ac:dyDescent="0.3">
      <c r="A51" s="11"/>
      <c r="B51" s="11"/>
      <c r="C51" s="11"/>
      <c r="D51" s="11"/>
      <c r="E51" s="11"/>
      <c r="F51" s="11"/>
      <c r="G51" s="1"/>
      <c r="H51" s="1"/>
      <c r="I51" s="1"/>
      <c r="J51" s="6"/>
      <c r="K51" s="1"/>
      <c r="L51" s="1"/>
      <c r="M51" s="1"/>
      <c r="U51" s="1" t="s">
        <v>349</v>
      </c>
      <c r="V51" s="1"/>
    </row>
    <row r="52" spans="1:22" x14ac:dyDescent="0.3">
      <c r="A52" s="11"/>
      <c r="B52" s="11"/>
      <c r="C52" s="11"/>
      <c r="D52" s="11"/>
      <c r="E52" s="11"/>
      <c r="F52" s="11"/>
      <c r="G52" s="1"/>
      <c r="H52" s="1"/>
      <c r="I52" s="1"/>
      <c r="J52" s="6"/>
      <c r="K52" s="1"/>
      <c r="L52" s="1"/>
      <c r="M52" s="1"/>
      <c r="U52" s="1" t="s">
        <v>350</v>
      </c>
      <c r="V52" s="1"/>
    </row>
    <row r="53" spans="1:22" x14ac:dyDescent="0.3">
      <c r="A53" s="11"/>
      <c r="B53" s="11"/>
      <c r="C53" s="11"/>
      <c r="D53" s="11"/>
      <c r="E53" s="11"/>
      <c r="F53" s="11"/>
      <c r="G53" s="1"/>
      <c r="H53" s="1"/>
      <c r="I53" s="1"/>
      <c r="J53" s="6"/>
      <c r="K53" s="1"/>
      <c r="L53" s="1"/>
      <c r="M53" s="1"/>
      <c r="U53" s="1" t="s">
        <v>351</v>
      </c>
      <c r="V53" s="1"/>
    </row>
    <row r="54" spans="1:22" x14ac:dyDescent="0.3">
      <c r="A54" s="11"/>
      <c r="B54" s="11"/>
      <c r="C54" s="11"/>
      <c r="D54" s="11"/>
      <c r="E54" s="11"/>
      <c r="F54" s="11"/>
      <c r="G54" s="1"/>
      <c r="H54" s="1"/>
      <c r="I54" s="1"/>
      <c r="J54" s="6"/>
      <c r="K54" s="1"/>
      <c r="L54" s="1"/>
      <c r="M54" s="1"/>
      <c r="U54" s="1" t="s">
        <v>352</v>
      </c>
      <c r="V54" s="1"/>
    </row>
    <row r="55" spans="1:22" x14ac:dyDescent="0.3">
      <c r="A55" s="11"/>
      <c r="B55" s="11"/>
      <c r="C55" s="11"/>
      <c r="D55" s="11"/>
      <c r="E55" s="11"/>
      <c r="F55" s="11"/>
      <c r="G55" s="1"/>
      <c r="H55" s="1"/>
      <c r="I55" s="1"/>
      <c r="J55" s="6"/>
      <c r="K55" s="1"/>
      <c r="L55" s="1"/>
      <c r="M55" s="1"/>
      <c r="U55" s="1" t="s">
        <v>353</v>
      </c>
      <c r="V55" s="1"/>
    </row>
    <row r="56" spans="1:22" x14ac:dyDescent="0.3">
      <c r="A56" s="11"/>
      <c r="B56" s="11"/>
      <c r="C56" s="11"/>
      <c r="D56" s="11"/>
      <c r="E56" s="11"/>
      <c r="F56" s="11"/>
      <c r="G56" s="1"/>
      <c r="H56" s="1"/>
      <c r="I56" s="1"/>
      <c r="J56" s="6"/>
      <c r="K56" s="1"/>
      <c r="L56" s="1"/>
      <c r="M56" s="1"/>
      <c r="U56" s="1" t="s">
        <v>354</v>
      </c>
      <c r="V56" s="1"/>
    </row>
    <row r="57" spans="1:22" x14ac:dyDescent="0.3">
      <c r="A57" s="11"/>
      <c r="B57" s="11"/>
      <c r="C57" s="11"/>
      <c r="D57" s="11"/>
      <c r="E57" s="11"/>
      <c r="F57" s="11"/>
      <c r="G57" s="1"/>
      <c r="H57" s="1"/>
      <c r="I57" s="1"/>
      <c r="J57" s="6"/>
      <c r="K57" s="1"/>
      <c r="L57" s="1"/>
      <c r="M57" s="1"/>
      <c r="U57" s="1" t="s">
        <v>355</v>
      </c>
      <c r="V57" s="1"/>
    </row>
    <row r="58" spans="1:22" x14ac:dyDescent="0.3">
      <c r="A58" s="11"/>
      <c r="B58" s="11"/>
      <c r="C58" s="11"/>
      <c r="D58" s="11"/>
      <c r="E58" s="11"/>
      <c r="F58" s="11"/>
      <c r="G58" s="1"/>
      <c r="H58" s="1"/>
      <c r="I58" s="1"/>
      <c r="J58" s="6"/>
      <c r="K58" s="1"/>
      <c r="L58" s="1"/>
      <c r="M58" s="1"/>
      <c r="U58" s="1" t="s">
        <v>356</v>
      </c>
      <c r="V58" s="1"/>
    </row>
    <row r="59" spans="1:22" x14ac:dyDescent="0.3">
      <c r="A59" s="11"/>
      <c r="B59" s="11"/>
      <c r="C59" s="11"/>
      <c r="D59" s="11"/>
      <c r="E59" s="11"/>
      <c r="F59" s="11"/>
      <c r="G59" s="1"/>
      <c r="H59" s="1"/>
      <c r="I59" s="1"/>
      <c r="J59" s="6"/>
      <c r="K59" s="1"/>
      <c r="L59" s="1"/>
      <c r="M59" s="1"/>
      <c r="U59" s="1" t="s">
        <v>357</v>
      </c>
      <c r="V59" s="1"/>
    </row>
    <row r="60" spans="1:22" x14ac:dyDescent="0.3">
      <c r="A60" s="11"/>
      <c r="B60" s="11"/>
      <c r="C60" s="11"/>
      <c r="D60" s="11"/>
      <c r="E60" s="11"/>
      <c r="F60" s="11"/>
      <c r="G60" s="1"/>
      <c r="H60" s="1"/>
      <c r="I60" s="1"/>
      <c r="J60" s="6"/>
      <c r="K60" s="1"/>
      <c r="L60" s="1"/>
      <c r="M60" s="1"/>
      <c r="U60" s="1" t="s">
        <v>358</v>
      </c>
      <c r="V60" s="1"/>
    </row>
    <row r="61" spans="1:22" x14ac:dyDescent="0.3">
      <c r="A61" s="11"/>
      <c r="B61" s="11"/>
      <c r="C61" s="11"/>
      <c r="D61" s="11"/>
      <c r="E61" s="11"/>
      <c r="F61" s="11"/>
      <c r="G61" s="1"/>
      <c r="H61" s="1"/>
      <c r="I61" s="1"/>
      <c r="J61" s="6"/>
      <c r="K61" s="1"/>
      <c r="L61" s="1"/>
      <c r="M61" s="1"/>
      <c r="U61" s="1" t="s">
        <v>359</v>
      </c>
      <c r="V61" s="1"/>
    </row>
    <row r="62" spans="1:22" x14ac:dyDescent="0.3">
      <c r="A62" s="11"/>
      <c r="B62" s="11"/>
      <c r="C62" s="11"/>
      <c r="D62" s="11"/>
      <c r="E62" s="11"/>
      <c r="F62" s="11"/>
      <c r="G62" s="1"/>
      <c r="H62" s="1"/>
      <c r="I62" s="1"/>
      <c r="J62" s="6"/>
      <c r="K62" s="1"/>
      <c r="L62" s="1"/>
      <c r="M62" s="1"/>
      <c r="U62" s="1" t="s">
        <v>360</v>
      </c>
      <c r="V62" s="1"/>
    </row>
    <row r="63" spans="1:22" x14ac:dyDescent="0.3">
      <c r="A63" s="11"/>
      <c r="B63" s="11"/>
      <c r="C63" s="11"/>
      <c r="D63" s="11"/>
      <c r="E63" s="11"/>
      <c r="F63" s="11"/>
      <c r="G63" s="1"/>
      <c r="H63" s="1"/>
      <c r="I63" s="1"/>
      <c r="J63" s="6"/>
      <c r="K63" s="1"/>
      <c r="L63" s="1"/>
      <c r="M63" s="1"/>
      <c r="U63" s="1" t="s">
        <v>361</v>
      </c>
      <c r="V63" s="1"/>
    </row>
    <row r="64" spans="1:22" x14ac:dyDescent="0.3">
      <c r="A64" s="11"/>
      <c r="B64" s="11"/>
      <c r="C64" s="11"/>
      <c r="D64" s="11"/>
      <c r="E64" s="11"/>
      <c r="F64" s="11"/>
      <c r="G64" s="1"/>
      <c r="H64" s="1"/>
      <c r="I64" s="1"/>
      <c r="J64" s="6"/>
      <c r="K64" s="1"/>
      <c r="L64" s="1"/>
      <c r="M64" s="1"/>
      <c r="U64" s="1" t="s">
        <v>362</v>
      </c>
      <c r="V64" s="1"/>
    </row>
    <row r="65" spans="1:22" x14ac:dyDescent="0.3">
      <c r="A65" s="11"/>
      <c r="B65" s="11"/>
      <c r="C65" s="11"/>
      <c r="D65" s="11"/>
      <c r="E65" s="11"/>
      <c r="F65" s="11"/>
      <c r="G65" s="1"/>
      <c r="H65" s="1"/>
      <c r="I65" s="1"/>
      <c r="J65" s="6"/>
      <c r="K65" s="1"/>
      <c r="L65" s="1"/>
      <c r="M65" s="1"/>
      <c r="U65" s="1" t="s">
        <v>363</v>
      </c>
      <c r="V65" s="1"/>
    </row>
    <row r="66" spans="1:22" x14ac:dyDescent="0.3">
      <c r="A66" s="11"/>
      <c r="B66" s="11"/>
      <c r="C66" s="11"/>
      <c r="D66" s="11"/>
      <c r="E66" s="11"/>
      <c r="F66" s="11"/>
      <c r="G66" s="1"/>
      <c r="H66" s="1"/>
      <c r="I66" s="1"/>
      <c r="J66" s="6"/>
      <c r="K66" s="1"/>
      <c r="L66" s="1"/>
      <c r="M66" s="1"/>
      <c r="U66" s="1" t="s">
        <v>364</v>
      </c>
      <c r="V66" s="1"/>
    </row>
    <row r="67" spans="1:22" x14ac:dyDescent="0.3">
      <c r="A67" s="11"/>
      <c r="B67" s="11"/>
      <c r="C67" s="11"/>
      <c r="D67" s="11"/>
      <c r="E67" s="11"/>
      <c r="F67" s="11"/>
      <c r="G67" s="1"/>
      <c r="H67" s="1"/>
      <c r="I67" s="1"/>
      <c r="J67" s="6"/>
      <c r="K67" s="1"/>
      <c r="L67" s="1"/>
      <c r="M67" s="1"/>
      <c r="U67" s="1" t="s">
        <v>365</v>
      </c>
      <c r="V67" s="1"/>
    </row>
    <row r="68" spans="1:22" x14ac:dyDescent="0.3">
      <c r="A68" s="11"/>
      <c r="B68" s="11"/>
      <c r="C68" s="11"/>
      <c r="D68" s="11"/>
      <c r="E68" s="11"/>
      <c r="F68" s="11"/>
      <c r="G68" s="1"/>
      <c r="H68" s="1"/>
      <c r="I68" s="1"/>
      <c r="J68" s="6"/>
      <c r="K68" s="1"/>
      <c r="L68" s="1"/>
      <c r="M68" s="1"/>
      <c r="U68" s="1" t="s">
        <v>366</v>
      </c>
      <c r="V68" s="1"/>
    </row>
    <row r="69" spans="1:22" x14ac:dyDescent="0.3">
      <c r="A69" s="11"/>
      <c r="B69" s="11"/>
      <c r="C69" s="11"/>
      <c r="D69" s="11"/>
      <c r="E69" s="11"/>
      <c r="F69" s="11"/>
      <c r="G69" s="1"/>
      <c r="H69" s="1"/>
      <c r="I69" s="1"/>
      <c r="J69" s="6"/>
      <c r="K69" s="1"/>
      <c r="L69" s="1"/>
      <c r="M69" s="1"/>
      <c r="U69" s="1" t="s">
        <v>367</v>
      </c>
      <c r="V69" s="1"/>
    </row>
    <row r="70" spans="1:22" x14ac:dyDescent="0.3">
      <c r="A70" s="11"/>
      <c r="B70" s="11"/>
      <c r="C70" s="11"/>
      <c r="D70" s="11"/>
      <c r="E70" s="11"/>
      <c r="F70" s="11"/>
      <c r="G70" s="1"/>
      <c r="H70" s="1"/>
      <c r="I70" s="1"/>
      <c r="J70" s="6"/>
      <c r="K70" s="1"/>
      <c r="L70" s="1"/>
      <c r="M70" s="1"/>
      <c r="U70" s="1" t="s">
        <v>368</v>
      </c>
      <c r="V70" s="1"/>
    </row>
    <row r="71" spans="1:22" x14ac:dyDescent="0.3">
      <c r="A71" s="11"/>
      <c r="B71" s="11"/>
      <c r="C71" s="11"/>
      <c r="D71" s="11"/>
      <c r="E71" s="11"/>
      <c r="F71" s="11"/>
      <c r="G71" s="1"/>
      <c r="H71" s="1"/>
      <c r="I71" s="1"/>
      <c r="J71" s="6"/>
      <c r="K71" s="1"/>
      <c r="L71" s="1"/>
      <c r="M71" s="1"/>
      <c r="U71" s="1" t="s">
        <v>369</v>
      </c>
      <c r="V71" s="1"/>
    </row>
    <row r="72" spans="1:22" x14ac:dyDescent="0.3">
      <c r="A72" s="11"/>
      <c r="B72" s="11"/>
      <c r="C72" s="11"/>
      <c r="D72" s="11"/>
      <c r="E72" s="11"/>
      <c r="F72" s="11"/>
      <c r="G72" s="1"/>
      <c r="H72" s="1"/>
      <c r="I72" s="1"/>
      <c r="J72" s="6"/>
      <c r="K72" s="1"/>
      <c r="L72" s="1"/>
      <c r="M72" s="1"/>
      <c r="U72" s="1" t="s">
        <v>370</v>
      </c>
      <c r="V72" s="1"/>
    </row>
    <row r="73" spans="1:22" x14ac:dyDescent="0.3">
      <c r="A73" s="11"/>
      <c r="B73" s="11"/>
      <c r="C73" s="11"/>
      <c r="D73" s="11"/>
      <c r="E73" s="11"/>
      <c r="F73" s="11"/>
      <c r="G73" s="1"/>
      <c r="H73" s="1"/>
      <c r="I73" s="1"/>
      <c r="J73" s="6"/>
      <c r="K73" s="1"/>
      <c r="L73" s="1"/>
      <c r="M73" s="1"/>
      <c r="U73" s="1" t="s">
        <v>371</v>
      </c>
      <c r="V73" s="1"/>
    </row>
    <row r="74" spans="1:22" x14ac:dyDescent="0.3">
      <c r="A74" s="11"/>
      <c r="B74" s="11"/>
      <c r="C74" s="11"/>
      <c r="D74" s="11"/>
      <c r="E74" s="11"/>
      <c r="F74" s="11"/>
      <c r="G74" s="1"/>
      <c r="H74" s="1"/>
      <c r="I74" s="1"/>
      <c r="J74" s="6"/>
      <c r="K74" s="1"/>
      <c r="L74" s="1"/>
      <c r="M74" s="1"/>
      <c r="U74" s="1" t="s">
        <v>372</v>
      </c>
      <c r="V74" s="1"/>
    </row>
    <row r="75" spans="1:22" x14ac:dyDescent="0.3">
      <c r="A75" s="11"/>
      <c r="B75" s="11"/>
      <c r="C75" s="11"/>
      <c r="D75" s="11"/>
      <c r="E75" s="11"/>
      <c r="F75" s="11"/>
      <c r="G75" s="1"/>
      <c r="H75" s="1"/>
      <c r="I75" s="1"/>
      <c r="J75" s="6"/>
      <c r="K75" s="1"/>
      <c r="L75" s="1"/>
      <c r="M75" s="1"/>
      <c r="U75" s="1" t="s">
        <v>373</v>
      </c>
      <c r="V75" s="1"/>
    </row>
    <row r="76" spans="1:22" x14ac:dyDescent="0.3">
      <c r="A76" s="11"/>
      <c r="B76" s="11"/>
      <c r="C76" s="11"/>
      <c r="D76" s="11"/>
      <c r="E76" s="11"/>
      <c r="F76" s="11"/>
      <c r="G76" s="1"/>
      <c r="H76" s="1"/>
      <c r="I76" s="1"/>
      <c r="J76" s="6"/>
      <c r="K76" s="1"/>
      <c r="L76" s="1"/>
      <c r="M76" s="1"/>
      <c r="U76" s="1" t="s">
        <v>374</v>
      </c>
      <c r="V76" s="1"/>
    </row>
    <row r="77" spans="1:22" x14ac:dyDescent="0.3">
      <c r="A77" s="11"/>
      <c r="B77" s="11"/>
      <c r="C77" s="11"/>
      <c r="D77" s="11"/>
      <c r="E77" s="11"/>
      <c r="F77" s="11"/>
      <c r="G77" s="1"/>
      <c r="H77" s="1"/>
      <c r="I77" s="1"/>
      <c r="J77" s="6"/>
      <c r="K77" s="1"/>
      <c r="L77" s="1"/>
      <c r="M77" s="1"/>
      <c r="U77" s="1" t="s">
        <v>375</v>
      </c>
      <c r="V77" s="1"/>
    </row>
    <row r="78" spans="1:22" x14ac:dyDescent="0.3">
      <c r="U78" s="1" t="s">
        <v>376</v>
      </c>
      <c r="V78" s="1"/>
    </row>
    <row r="79" spans="1:22" x14ac:dyDescent="0.3">
      <c r="U79" s="1" t="s">
        <v>377</v>
      </c>
      <c r="V79" s="1"/>
    </row>
    <row r="80" spans="1:22" x14ac:dyDescent="0.3">
      <c r="U80" s="1" t="s">
        <v>378</v>
      </c>
      <c r="V80" s="1"/>
    </row>
    <row r="81" spans="21:22" x14ac:dyDescent="0.3">
      <c r="U81" s="1" t="s">
        <v>379</v>
      </c>
      <c r="V81" s="1"/>
    </row>
    <row r="82" spans="21:22" x14ac:dyDescent="0.3">
      <c r="U82" s="1" t="s">
        <v>380</v>
      </c>
      <c r="V82" s="1"/>
    </row>
    <row r="83" spans="21:22" x14ac:dyDescent="0.3">
      <c r="U83" s="1" t="s">
        <v>381</v>
      </c>
      <c r="V83" s="1"/>
    </row>
    <row r="84" spans="21:22" x14ac:dyDescent="0.3">
      <c r="U84" s="1" t="s">
        <v>382</v>
      </c>
      <c r="V84" s="1"/>
    </row>
    <row r="85" spans="21:22" x14ac:dyDescent="0.3">
      <c r="U85" s="1" t="s">
        <v>383</v>
      </c>
      <c r="V85" s="1"/>
    </row>
    <row r="86" spans="21:22" x14ac:dyDescent="0.3">
      <c r="U86" s="1" t="s">
        <v>384</v>
      </c>
      <c r="V86" s="1"/>
    </row>
    <row r="87" spans="21:22" x14ac:dyDescent="0.3">
      <c r="U87" s="1" t="s">
        <v>385</v>
      </c>
      <c r="V87" s="1"/>
    </row>
    <row r="88" spans="21:22" x14ac:dyDescent="0.3">
      <c r="U88" s="1" t="s">
        <v>386</v>
      </c>
      <c r="V88" s="1"/>
    </row>
    <row r="89" spans="21:22" x14ac:dyDescent="0.3">
      <c r="U89" s="1" t="s">
        <v>387</v>
      </c>
      <c r="V89" s="1"/>
    </row>
    <row r="90" spans="21:22" x14ac:dyDescent="0.3">
      <c r="U90" s="1" t="s">
        <v>388</v>
      </c>
      <c r="V90" s="1"/>
    </row>
    <row r="91" spans="21:22" x14ac:dyDescent="0.3">
      <c r="U91" s="1" t="s">
        <v>389</v>
      </c>
      <c r="V91" s="1"/>
    </row>
    <row r="92" spans="21:22" x14ac:dyDescent="0.3">
      <c r="U92" s="1" t="s">
        <v>390</v>
      </c>
      <c r="V92" s="1"/>
    </row>
    <row r="93" spans="21:22" x14ac:dyDescent="0.3">
      <c r="U93" s="1" t="s">
        <v>391</v>
      </c>
      <c r="V93" s="1"/>
    </row>
    <row r="94" spans="21:22" x14ac:dyDescent="0.3">
      <c r="U94" s="1" t="s">
        <v>392</v>
      </c>
      <c r="V94" s="1"/>
    </row>
    <row r="95" spans="21:22" x14ac:dyDescent="0.3">
      <c r="U95" s="1" t="s">
        <v>393</v>
      </c>
      <c r="V95" s="1"/>
    </row>
    <row r="96" spans="21:22" x14ac:dyDescent="0.3">
      <c r="U96" s="1" t="s">
        <v>394</v>
      </c>
      <c r="V96" s="1"/>
    </row>
    <row r="97" spans="21:22" x14ac:dyDescent="0.3">
      <c r="U97" s="1" t="s">
        <v>395</v>
      </c>
      <c r="V97" s="1"/>
    </row>
    <row r="98" spans="21:22" x14ac:dyDescent="0.3">
      <c r="U98" s="1" t="s">
        <v>396</v>
      </c>
      <c r="V98" s="1"/>
    </row>
    <row r="99" spans="21:22" x14ac:dyDescent="0.3">
      <c r="U99" s="1" t="s">
        <v>397</v>
      </c>
      <c r="V99" s="1"/>
    </row>
    <row r="100" spans="21:22" x14ac:dyDescent="0.3">
      <c r="U100" s="1" t="s">
        <v>398</v>
      </c>
      <c r="V100" s="1"/>
    </row>
    <row r="101" spans="21:22" x14ac:dyDescent="0.3">
      <c r="U101" s="1" t="s">
        <v>399</v>
      </c>
      <c r="V101" s="1"/>
    </row>
    <row r="102" spans="21:22" x14ac:dyDescent="0.3">
      <c r="U102" s="1" t="s">
        <v>400</v>
      </c>
      <c r="V102" s="1"/>
    </row>
    <row r="103" spans="21:22" x14ac:dyDescent="0.3">
      <c r="U103" s="1" t="s">
        <v>401</v>
      </c>
      <c r="V103" s="1"/>
    </row>
    <row r="104" spans="21:22" x14ac:dyDescent="0.3">
      <c r="U104" s="1" t="s">
        <v>402</v>
      </c>
      <c r="V104" s="1"/>
    </row>
    <row r="105" spans="21:22" x14ac:dyDescent="0.3">
      <c r="U105" s="1" t="s">
        <v>403</v>
      </c>
      <c r="V105" s="1"/>
    </row>
    <row r="106" spans="21:22" x14ac:dyDescent="0.3">
      <c r="U106" s="1" t="s">
        <v>404</v>
      </c>
      <c r="V106" s="1"/>
    </row>
    <row r="107" spans="21:22" x14ac:dyDescent="0.3">
      <c r="U107" s="1" t="s">
        <v>405</v>
      </c>
      <c r="V107" s="1"/>
    </row>
    <row r="108" spans="21:22" x14ac:dyDescent="0.3">
      <c r="U108" s="1" t="s">
        <v>406</v>
      </c>
      <c r="V108" s="1"/>
    </row>
    <row r="109" spans="21:22" x14ac:dyDescent="0.3">
      <c r="U109" s="1" t="s">
        <v>407</v>
      </c>
      <c r="V109" s="1"/>
    </row>
    <row r="110" spans="21:22" x14ac:dyDescent="0.3">
      <c r="U110" s="1" t="s">
        <v>408</v>
      </c>
      <c r="V110" s="1"/>
    </row>
    <row r="111" spans="21:22" x14ac:dyDescent="0.3">
      <c r="U111" s="1" t="s">
        <v>409</v>
      </c>
      <c r="V111" s="1"/>
    </row>
    <row r="112" spans="21:22" x14ac:dyDescent="0.3">
      <c r="U112" s="1" t="s">
        <v>410</v>
      </c>
      <c r="V112" s="1"/>
    </row>
    <row r="113" spans="21:22" x14ac:dyDescent="0.3">
      <c r="U113" s="1" t="s">
        <v>411</v>
      </c>
      <c r="V113" s="1"/>
    </row>
    <row r="114" spans="21:22" x14ac:dyDescent="0.3">
      <c r="U114" s="1" t="s">
        <v>412</v>
      </c>
      <c r="V114" s="1"/>
    </row>
    <row r="115" spans="21:22" x14ac:dyDescent="0.3">
      <c r="U115" s="1" t="s">
        <v>413</v>
      </c>
      <c r="V115" s="1"/>
    </row>
    <row r="116" spans="21:22" x14ac:dyDescent="0.3">
      <c r="U116" s="1" t="s">
        <v>414</v>
      </c>
      <c r="V116" s="1"/>
    </row>
    <row r="117" spans="21:22" x14ac:dyDescent="0.3">
      <c r="U117" s="1" t="s">
        <v>415</v>
      </c>
      <c r="V117" s="1"/>
    </row>
    <row r="118" spans="21:22" x14ac:dyDescent="0.3">
      <c r="U118" s="1" t="s">
        <v>416</v>
      </c>
      <c r="V118" s="1"/>
    </row>
    <row r="119" spans="21:22" x14ac:dyDescent="0.3">
      <c r="U119" s="1" t="s">
        <v>417</v>
      </c>
      <c r="V119" s="1"/>
    </row>
    <row r="120" spans="21:22" x14ac:dyDescent="0.3">
      <c r="U120" s="1" t="s">
        <v>418</v>
      </c>
      <c r="V120" s="1"/>
    </row>
    <row r="121" spans="21:22" x14ac:dyDescent="0.3">
      <c r="U121" s="1" t="s">
        <v>419</v>
      </c>
      <c r="V121" s="1"/>
    </row>
    <row r="122" spans="21:22" x14ac:dyDescent="0.3">
      <c r="U122" s="1" t="s">
        <v>420</v>
      </c>
      <c r="V122" s="1"/>
    </row>
    <row r="123" spans="21:22" x14ac:dyDescent="0.3">
      <c r="U123" s="1" t="s">
        <v>421</v>
      </c>
      <c r="V123" s="1"/>
    </row>
    <row r="124" spans="21:22" x14ac:dyDescent="0.3">
      <c r="U124" s="1" t="s">
        <v>422</v>
      </c>
      <c r="V124" s="1"/>
    </row>
    <row r="125" spans="21:22" x14ac:dyDescent="0.3">
      <c r="U125" s="1" t="s">
        <v>423</v>
      </c>
      <c r="V125" s="1"/>
    </row>
    <row r="126" spans="21:22" x14ac:dyDescent="0.3">
      <c r="U126" s="1" t="s">
        <v>424</v>
      </c>
      <c r="V126" s="1"/>
    </row>
    <row r="127" spans="21:22" x14ac:dyDescent="0.3">
      <c r="U127" s="1" t="s">
        <v>425</v>
      </c>
      <c r="V127" s="1"/>
    </row>
    <row r="128" spans="21:22" x14ac:dyDescent="0.3">
      <c r="U128" s="1" t="s">
        <v>426</v>
      </c>
      <c r="V128" s="1"/>
    </row>
    <row r="129" spans="21:22" x14ac:dyDescent="0.3">
      <c r="U129" s="1" t="s">
        <v>427</v>
      </c>
      <c r="V129" s="1"/>
    </row>
    <row r="130" spans="21:22" x14ac:dyDescent="0.3">
      <c r="U130" s="1" t="s">
        <v>428</v>
      </c>
      <c r="V130" s="1"/>
    </row>
    <row r="131" spans="21:22" x14ac:dyDescent="0.3">
      <c r="U131" s="1" t="s">
        <v>429</v>
      </c>
      <c r="V131" s="1"/>
    </row>
    <row r="132" spans="21:22" x14ac:dyDescent="0.3">
      <c r="U132" s="1" t="s">
        <v>430</v>
      </c>
      <c r="V132" s="1"/>
    </row>
    <row r="133" spans="21:22" x14ac:dyDescent="0.3">
      <c r="U133" s="1" t="s">
        <v>431</v>
      </c>
      <c r="V133" s="1"/>
    </row>
    <row r="134" spans="21:22" x14ac:dyDescent="0.3">
      <c r="U134" s="1" t="s">
        <v>432</v>
      </c>
      <c r="V134" s="1"/>
    </row>
    <row r="135" spans="21:22" x14ac:dyDescent="0.3">
      <c r="U135" s="1" t="s">
        <v>433</v>
      </c>
      <c r="V135" s="1"/>
    </row>
    <row r="136" spans="21:22" x14ac:dyDescent="0.3">
      <c r="U136" s="1" t="s">
        <v>434</v>
      </c>
      <c r="V136" s="1"/>
    </row>
    <row r="137" spans="21:22" x14ac:dyDescent="0.3">
      <c r="U137" s="1" t="s">
        <v>435</v>
      </c>
      <c r="V137" s="1"/>
    </row>
    <row r="138" spans="21:22" x14ac:dyDescent="0.3">
      <c r="U138" s="1" t="s">
        <v>436</v>
      </c>
      <c r="V138" s="1"/>
    </row>
    <row r="139" spans="21:22" x14ac:dyDescent="0.3">
      <c r="U139" s="1" t="s">
        <v>437</v>
      </c>
      <c r="V139" s="1"/>
    </row>
    <row r="140" spans="21:22" x14ac:dyDescent="0.3">
      <c r="U140" s="1" t="s">
        <v>438</v>
      </c>
      <c r="V140" s="1"/>
    </row>
    <row r="141" spans="21:22" x14ac:dyDescent="0.3">
      <c r="U141" s="1" t="s">
        <v>439</v>
      </c>
      <c r="V141" s="1"/>
    </row>
    <row r="142" spans="21:22" x14ac:dyDescent="0.3">
      <c r="U142" s="1" t="s">
        <v>440</v>
      </c>
      <c r="V142" s="1"/>
    </row>
    <row r="143" spans="21:22" x14ac:dyDescent="0.3">
      <c r="U143" s="1" t="s">
        <v>441</v>
      </c>
      <c r="V143" s="1"/>
    </row>
    <row r="144" spans="21:22" x14ac:dyDescent="0.3">
      <c r="U144" s="1" t="s">
        <v>442</v>
      </c>
      <c r="V144" s="1"/>
    </row>
    <row r="145" spans="21:22" x14ac:dyDescent="0.3">
      <c r="U145" s="1" t="s">
        <v>443</v>
      </c>
      <c r="V145" s="1"/>
    </row>
    <row r="146" spans="21:22" x14ac:dyDescent="0.3">
      <c r="U146" s="1" t="s">
        <v>444</v>
      </c>
      <c r="V146" s="1"/>
    </row>
    <row r="147" spans="21:22" x14ac:dyDescent="0.3">
      <c r="U147" s="1" t="s">
        <v>445</v>
      </c>
      <c r="V147" s="1"/>
    </row>
    <row r="148" spans="21:22" x14ac:dyDescent="0.3">
      <c r="U148" s="1" t="s">
        <v>446</v>
      </c>
      <c r="V148" s="1"/>
    </row>
    <row r="149" spans="21:22" x14ac:dyDescent="0.3">
      <c r="U149" s="1" t="s">
        <v>447</v>
      </c>
      <c r="V149" s="1"/>
    </row>
    <row r="150" spans="21:22" x14ac:dyDescent="0.3">
      <c r="U150" s="1" t="s">
        <v>448</v>
      </c>
      <c r="V150" s="1"/>
    </row>
    <row r="151" spans="21:22" x14ac:dyDescent="0.3">
      <c r="U151" s="1" t="s">
        <v>449</v>
      </c>
      <c r="V151" s="1"/>
    </row>
    <row r="152" spans="21:22" x14ac:dyDescent="0.3">
      <c r="U152" s="1" t="s">
        <v>450</v>
      </c>
      <c r="V152" s="1"/>
    </row>
    <row r="153" spans="21:22" x14ac:dyDescent="0.3">
      <c r="U153" s="1" t="s">
        <v>451</v>
      </c>
      <c r="V153" s="1"/>
    </row>
    <row r="154" spans="21:22" x14ac:dyDescent="0.3">
      <c r="U154" s="1" t="s">
        <v>452</v>
      </c>
      <c r="V154" s="1"/>
    </row>
    <row r="155" spans="21:22" x14ac:dyDescent="0.3">
      <c r="U155" s="1" t="s">
        <v>453</v>
      </c>
      <c r="V155" s="1"/>
    </row>
    <row r="156" spans="21:22" x14ac:dyDescent="0.3">
      <c r="U156" s="1" t="s">
        <v>454</v>
      </c>
      <c r="V156" s="1"/>
    </row>
    <row r="157" spans="21:22" x14ac:dyDescent="0.3">
      <c r="U157" s="1" t="s">
        <v>455</v>
      </c>
      <c r="V157" s="1"/>
    </row>
    <row r="158" spans="21:22" x14ac:dyDescent="0.3">
      <c r="U158" s="1" t="s">
        <v>456</v>
      </c>
      <c r="V158" s="1"/>
    </row>
    <row r="159" spans="21:22" x14ac:dyDescent="0.3">
      <c r="U159" s="1" t="s">
        <v>457</v>
      </c>
      <c r="V159" s="1"/>
    </row>
    <row r="160" spans="21:22" x14ac:dyDescent="0.3">
      <c r="U160" s="1" t="s">
        <v>458</v>
      </c>
      <c r="V160" s="1"/>
    </row>
    <row r="161" spans="21:22" x14ac:dyDescent="0.3">
      <c r="U161" s="1" t="s">
        <v>459</v>
      </c>
      <c r="V161" s="1"/>
    </row>
    <row r="162" spans="21:22" x14ac:dyDescent="0.3">
      <c r="U162" s="1" t="s">
        <v>460</v>
      </c>
      <c r="V162" s="1"/>
    </row>
    <row r="163" spans="21:22" x14ac:dyDescent="0.3">
      <c r="U163" s="1" t="s">
        <v>461</v>
      </c>
      <c r="V163" s="1"/>
    </row>
    <row r="164" spans="21:22" x14ac:dyDescent="0.3">
      <c r="U164" s="1" t="s">
        <v>462</v>
      </c>
      <c r="V164" s="1"/>
    </row>
    <row r="165" spans="21:22" x14ac:dyDescent="0.3">
      <c r="U165" s="1" t="s">
        <v>463</v>
      </c>
      <c r="V165" s="1"/>
    </row>
    <row r="166" spans="21:22" x14ac:dyDescent="0.3">
      <c r="U166" s="1" t="s">
        <v>464</v>
      </c>
      <c r="V166" s="1"/>
    </row>
    <row r="167" spans="21:22" x14ac:dyDescent="0.3">
      <c r="U167" s="1" t="s">
        <v>465</v>
      </c>
      <c r="V167" s="1"/>
    </row>
    <row r="168" spans="21:22" x14ac:dyDescent="0.3">
      <c r="U168" s="1" t="s">
        <v>466</v>
      </c>
      <c r="V168" s="1"/>
    </row>
    <row r="169" spans="21:22" x14ac:dyDescent="0.3">
      <c r="U169" s="1" t="s">
        <v>467</v>
      </c>
      <c r="V169" s="1"/>
    </row>
    <row r="170" spans="21:22" x14ac:dyDescent="0.3">
      <c r="U170" s="1" t="s">
        <v>468</v>
      </c>
      <c r="V170" s="1"/>
    </row>
    <row r="171" spans="21:22" x14ac:dyDescent="0.3">
      <c r="U171" s="1" t="s">
        <v>469</v>
      </c>
      <c r="V171" s="1"/>
    </row>
    <row r="172" spans="21:22" x14ac:dyDescent="0.3">
      <c r="U172" s="1" t="s">
        <v>470</v>
      </c>
      <c r="V172" s="1"/>
    </row>
    <row r="173" spans="21:22" x14ac:dyDescent="0.3">
      <c r="U173" s="1" t="s">
        <v>471</v>
      </c>
      <c r="V173" s="1"/>
    </row>
    <row r="174" spans="21:22" x14ac:dyDescent="0.3">
      <c r="U174" s="1" t="s">
        <v>472</v>
      </c>
      <c r="V174" s="1"/>
    </row>
    <row r="175" spans="21:22" x14ac:dyDescent="0.3">
      <c r="U175" s="1" t="s">
        <v>473</v>
      </c>
      <c r="V175" s="1"/>
    </row>
    <row r="176" spans="21:22" x14ac:dyDescent="0.3">
      <c r="U176" s="1" t="s">
        <v>474</v>
      </c>
      <c r="V176" s="1"/>
    </row>
    <row r="177" spans="21:22" x14ac:dyDescent="0.3">
      <c r="U177" s="1" t="s">
        <v>475</v>
      </c>
      <c r="V177" s="1"/>
    </row>
    <row r="178" spans="21:22" x14ac:dyDescent="0.3">
      <c r="U178" s="1" t="s">
        <v>476</v>
      </c>
      <c r="V178" s="1"/>
    </row>
    <row r="179" spans="21:22" x14ac:dyDescent="0.3">
      <c r="U179" s="1" t="s">
        <v>477</v>
      </c>
      <c r="V179" s="1"/>
    </row>
    <row r="180" spans="21:22" x14ac:dyDescent="0.3">
      <c r="U180" s="1" t="s">
        <v>478</v>
      </c>
      <c r="V180" s="1"/>
    </row>
    <row r="181" spans="21:22" x14ac:dyDescent="0.3">
      <c r="U181" s="1" t="s">
        <v>479</v>
      </c>
      <c r="V181" s="1"/>
    </row>
    <row r="182" spans="21:22" x14ac:dyDescent="0.3">
      <c r="U182" s="1" t="s">
        <v>480</v>
      </c>
      <c r="V182" s="1"/>
    </row>
    <row r="183" spans="21:22" x14ac:dyDescent="0.3">
      <c r="U183" s="1" t="s">
        <v>481</v>
      </c>
      <c r="V183" s="1"/>
    </row>
    <row r="184" spans="21:22" x14ac:dyDescent="0.3">
      <c r="U184" s="1" t="s">
        <v>482</v>
      </c>
      <c r="V184" s="1"/>
    </row>
    <row r="185" spans="21:22" x14ac:dyDescent="0.3">
      <c r="U185" s="1" t="s">
        <v>483</v>
      </c>
      <c r="V185" s="1"/>
    </row>
    <row r="186" spans="21:22" x14ac:dyDescent="0.3">
      <c r="U186" s="1" t="s">
        <v>484</v>
      </c>
      <c r="V186" s="1"/>
    </row>
    <row r="187" spans="21:22" x14ac:dyDescent="0.3">
      <c r="U187" s="1" t="s">
        <v>485</v>
      </c>
      <c r="V187" s="1"/>
    </row>
    <row r="188" spans="21:22" x14ac:dyDescent="0.3">
      <c r="U188" s="1" t="s">
        <v>486</v>
      </c>
      <c r="V188" s="1"/>
    </row>
    <row r="189" spans="21:22" x14ac:dyDescent="0.3">
      <c r="U189" s="1" t="s">
        <v>487</v>
      </c>
      <c r="V189" s="1"/>
    </row>
    <row r="190" spans="21:22" x14ac:dyDescent="0.3">
      <c r="U190" s="1" t="s">
        <v>488</v>
      </c>
      <c r="V190" s="1"/>
    </row>
    <row r="191" spans="21:22" x14ac:dyDescent="0.3">
      <c r="U191" s="1" t="s">
        <v>489</v>
      </c>
      <c r="V191" s="1"/>
    </row>
    <row r="192" spans="21:22" x14ac:dyDescent="0.3">
      <c r="U192" s="1" t="s">
        <v>490</v>
      </c>
      <c r="V192" s="1"/>
    </row>
    <row r="193" spans="21:22" x14ac:dyDescent="0.3">
      <c r="U193" s="1" t="s">
        <v>491</v>
      </c>
      <c r="V193" s="1"/>
    </row>
    <row r="194" spans="21:22" x14ac:dyDescent="0.3">
      <c r="U194" s="1" t="s">
        <v>492</v>
      </c>
      <c r="V194" s="1"/>
    </row>
    <row r="195" spans="21:22" x14ac:dyDescent="0.3">
      <c r="U195" s="1" t="s">
        <v>493</v>
      </c>
      <c r="V195" s="1"/>
    </row>
    <row r="196" spans="21:22" x14ac:dyDescent="0.3">
      <c r="U196" s="1" t="s">
        <v>494</v>
      </c>
      <c r="V196" s="1"/>
    </row>
    <row r="197" spans="21:22" x14ac:dyDescent="0.3">
      <c r="U197" s="1" t="s">
        <v>495</v>
      </c>
      <c r="V197" s="1"/>
    </row>
    <row r="198" spans="21:22" x14ac:dyDescent="0.3">
      <c r="U198" s="1" t="s">
        <v>496</v>
      </c>
      <c r="V198" s="1"/>
    </row>
    <row r="199" spans="21:22" x14ac:dyDescent="0.3">
      <c r="U199" s="1" t="s">
        <v>497</v>
      </c>
      <c r="V199" s="1"/>
    </row>
    <row r="200" spans="21:22" x14ac:dyDescent="0.3">
      <c r="U200" s="1" t="s">
        <v>498</v>
      </c>
      <c r="V200" s="1"/>
    </row>
    <row r="201" spans="21:22" x14ac:dyDescent="0.3">
      <c r="U201" s="1" t="s">
        <v>499</v>
      </c>
      <c r="V201" s="1"/>
    </row>
    <row r="202" spans="21:22" x14ac:dyDescent="0.3">
      <c r="U202" s="1" t="s">
        <v>500</v>
      </c>
      <c r="V202" s="1"/>
    </row>
    <row r="203" spans="21:22" x14ac:dyDescent="0.3">
      <c r="U203" s="1" t="s">
        <v>501</v>
      </c>
      <c r="V203" s="1"/>
    </row>
    <row r="204" spans="21:22" x14ac:dyDescent="0.3">
      <c r="U204" s="1" t="s">
        <v>502</v>
      </c>
      <c r="V204" s="1"/>
    </row>
    <row r="205" spans="21:22" x14ac:dyDescent="0.3">
      <c r="U205" s="1" t="s">
        <v>503</v>
      </c>
      <c r="V205" s="1"/>
    </row>
    <row r="206" spans="21:22" x14ac:dyDescent="0.3">
      <c r="U206" s="1" t="s">
        <v>504</v>
      </c>
      <c r="V206" s="1"/>
    </row>
    <row r="207" spans="21:22" x14ac:dyDescent="0.3">
      <c r="U207" s="1" t="s">
        <v>505</v>
      </c>
      <c r="V207" s="1"/>
    </row>
    <row r="208" spans="21:22" x14ac:dyDescent="0.3">
      <c r="U208" s="1" t="s">
        <v>506</v>
      </c>
      <c r="V208" s="1"/>
    </row>
    <row r="209" spans="21:22" x14ac:dyDescent="0.3">
      <c r="U209" s="1" t="s">
        <v>507</v>
      </c>
      <c r="V209" s="1"/>
    </row>
    <row r="210" spans="21:22" x14ac:dyDescent="0.3">
      <c r="U210" s="1" t="s">
        <v>508</v>
      </c>
      <c r="V210" s="1"/>
    </row>
    <row r="211" spans="21:22" x14ac:dyDescent="0.3">
      <c r="U211" s="1" t="s">
        <v>509</v>
      </c>
      <c r="V211" s="1"/>
    </row>
    <row r="212" spans="21:22" x14ac:dyDescent="0.3">
      <c r="U212" s="1" t="s">
        <v>510</v>
      </c>
      <c r="V212" s="1"/>
    </row>
    <row r="213" spans="21:22" x14ac:dyDescent="0.3">
      <c r="U213" s="1" t="s">
        <v>511</v>
      </c>
      <c r="V213" s="1"/>
    </row>
    <row r="214" spans="21:22" x14ac:dyDescent="0.3">
      <c r="U214" s="1" t="s">
        <v>512</v>
      </c>
      <c r="V214" s="1"/>
    </row>
    <row r="215" spans="21:22" x14ac:dyDescent="0.3">
      <c r="U215" s="1" t="s">
        <v>513</v>
      </c>
      <c r="V215" s="1"/>
    </row>
    <row r="216" spans="21:22" x14ac:dyDescent="0.3">
      <c r="U216" s="1" t="s">
        <v>514</v>
      </c>
      <c r="V216" s="1"/>
    </row>
    <row r="217" spans="21:22" x14ac:dyDescent="0.3">
      <c r="U217" s="1" t="s">
        <v>515</v>
      </c>
      <c r="V217" s="1"/>
    </row>
    <row r="218" spans="21:22" x14ac:dyDescent="0.3">
      <c r="U218" s="1" t="s">
        <v>516</v>
      </c>
      <c r="V218" s="1"/>
    </row>
    <row r="219" spans="21:22" x14ac:dyDescent="0.3">
      <c r="U219" s="1" t="s">
        <v>517</v>
      </c>
      <c r="V219" s="1"/>
    </row>
    <row r="220" spans="21:22" x14ac:dyDescent="0.3">
      <c r="U220" s="1" t="s">
        <v>518</v>
      </c>
      <c r="V220" s="1"/>
    </row>
    <row r="221" spans="21:22" x14ac:dyDescent="0.3">
      <c r="U221" s="1" t="s">
        <v>519</v>
      </c>
      <c r="V221" s="1"/>
    </row>
    <row r="222" spans="21:22" x14ac:dyDescent="0.3">
      <c r="U222" s="1" t="s">
        <v>520</v>
      </c>
      <c r="V222" s="1"/>
    </row>
    <row r="223" spans="21:22" x14ac:dyDescent="0.3">
      <c r="U223" s="1" t="s">
        <v>521</v>
      </c>
      <c r="V223" s="1"/>
    </row>
    <row r="224" spans="21:22" x14ac:dyDescent="0.3">
      <c r="U224" s="1" t="s">
        <v>522</v>
      </c>
      <c r="V224" s="1"/>
    </row>
    <row r="225" spans="21:22" x14ac:dyDescent="0.3">
      <c r="U225" s="1" t="s">
        <v>523</v>
      </c>
      <c r="V225" s="1"/>
    </row>
    <row r="226" spans="21:22" x14ac:dyDescent="0.3">
      <c r="U226" s="1" t="s">
        <v>524</v>
      </c>
      <c r="V226" s="1"/>
    </row>
    <row r="227" spans="21:22" x14ac:dyDescent="0.3">
      <c r="U227" s="1" t="s">
        <v>525</v>
      </c>
      <c r="V227" s="1"/>
    </row>
    <row r="228" spans="21:22" x14ac:dyDescent="0.3">
      <c r="U228" s="1" t="s">
        <v>526</v>
      </c>
      <c r="V228" s="1"/>
    </row>
    <row r="229" spans="21:22" x14ac:dyDescent="0.3">
      <c r="U229" s="1" t="s">
        <v>527</v>
      </c>
      <c r="V229" s="1"/>
    </row>
    <row r="230" spans="21:22" x14ac:dyDescent="0.3">
      <c r="U230" s="1" t="s">
        <v>528</v>
      </c>
      <c r="V230" s="1"/>
    </row>
    <row r="231" spans="21:22" x14ac:dyDescent="0.3">
      <c r="U231" s="1" t="s">
        <v>529</v>
      </c>
      <c r="V231" s="1"/>
    </row>
    <row r="232" spans="21:22" x14ac:dyDescent="0.3">
      <c r="U232" s="1" t="s">
        <v>530</v>
      </c>
      <c r="V232" s="1"/>
    </row>
    <row r="233" spans="21:22" x14ac:dyDescent="0.3">
      <c r="U233" s="1" t="s">
        <v>531</v>
      </c>
      <c r="V233" s="1"/>
    </row>
    <row r="234" spans="21:22" x14ac:dyDescent="0.3">
      <c r="U234" s="1" t="s">
        <v>532</v>
      </c>
      <c r="V234" s="1"/>
    </row>
    <row r="235" spans="21:22" x14ac:dyDescent="0.3">
      <c r="U235" s="1" t="s">
        <v>533</v>
      </c>
      <c r="V235" s="1"/>
    </row>
    <row r="236" spans="21:22" x14ac:dyDescent="0.3">
      <c r="U236" s="1" t="s">
        <v>534</v>
      </c>
      <c r="V236" s="1"/>
    </row>
    <row r="237" spans="21:22" x14ac:dyDescent="0.3">
      <c r="U237" s="1" t="s">
        <v>535</v>
      </c>
      <c r="V237" s="1"/>
    </row>
    <row r="238" spans="21:22" x14ac:dyDescent="0.3">
      <c r="U238" s="1" t="s">
        <v>536</v>
      </c>
      <c r="V238" s="1"/>
    </row>
    <row r="239" spans="21:22" x14ac:dyDescent="0.3">
      <c r="U239" s="1" t="s">
        <v>537</v>
      </c>
      <c r="V239" s="1"/>
    </row>
    <row r="240" spans="21:22" x14ac:dyDescent="0.3">
      <c r="U240" s="1" t="s">
        <v>538</v>
      </c>
      <c r="V240" s="1"/>
    </row>
    <row r="241" spans="21:22" x14ac:dyDescent="0.3">
      <c r="U241" s="1" t="s">
        <v>539</v>
      </c>
      <c r="V241" s="1"/>
    </row>
    <row r="242" spans="21:22" x14ac:dyDescent="0.3">
      <c r="U242" s="1" t="s">
        <v>540</v>
      </c>
      <c r="V242" s="1"/>
    </row>
    <row r="243" spans="21:22" x14ac:dyDescent="0.3">
      <c r="U243" s="1" t="s">
        <v>541</v>
      </c>
      <c r="V243" s="1"/>
    </row>
    <row r="244" spans="21:22" x14ac:dyDescent="0.3">
      <c r="U244" s="1" t="s">
        <v>542</v>
      </c>
      <c r="V244" s="1"/>
    </row>
    <row r="245" spans="21:22" x14ac:dyDescent="0.3">
      <c r="U245" s="1" t="s">
        <v>543</v>
      </c>
      <c r="V245" s="1"/>
    </row>
    <row r="246" spans="21:22" x14ac:dyDescent="0.3">
      <c r="U246" s="1" t="s">
        <v>544</v>
      </c>
      <c r="V246" s="1"/>
    </row>
    <row r="247" spans="21:22" x14ac:dyDescent="0.3">
      <c r="U247" s="1" t="s">
        <v>545</v>
      </c>
      <c r="V247" s="1"/>
    </row>
    <row r="248" spans="21:22" x14ac:dyDescent="0.3">
      <c r="U248" s="1" t="s">
        <v>546</v>
      </c>
      <c r="V248" s="1"/>
    </row>
    <row r="249" spans="21:22" x14ac:dyDescent="0.3">
      <c r="U249" s="1" t="s">
        <v>547</v>
      </c>
      <c r="V249" s="1"/>
    </row>
    <row r="250" spans="21:22" x14ac:dyDescent="0.3">
      <c r="U250" s="1" t="s">
        <v>548</v>
      </c>
      <c r="V250" s="1"/>
    </row>
    <row r="251" spans="21:22" x14ac:dyDescent="0.3">
      <c r="U251" s="1" t="s">
        <v>549</v>
      </c>
      <c r="V251" s="1"/>
    </row>
    <row r="252" spans="21:22" x14ac:dyDescent="0.3">
      <c r="U252" s="1" t="s">
        <v>550</v>
      </c>
      <c r="V252" s="1"/>
    </row>
    <row r="253" spans="21:22" x14ac:dyDescent="0.3">
      <c r="U253" s="1" t="s">
        <v>551</v>
      </c>
      <c r="V253" s="1"/>
    </row>
    <row r="254" spans="21:22" x14ac:dyDescent="0.3">
      <c r="U254" s="1" t="s">
        <v>552</v>
      </c>
      <c r="V254" s="1"/>
    </row>
    <row r="255" spans="21:22" x14ac:dyDescent="0.3">
      <c r="U255" s="1" t="s">
        <v>553</v>
      </c>
      <c r="V255" s="1"/>
    </row>
    <row r="256" spans="21:22" x14ac:dyDescent="0.3">
      <c r="U256" s="1" t="s">
        <v>554</v>
      </c>
      <c r="V256" s="1"/>
    </row>
    <row r="257" spans="21:22" x14ac:dyDescent="0.3">
      <c r="U257" s="1" t="s">
        <v>555</v>
      </c>
      <c r="V257" s="1"/>
    </row>
    <row r="258" spans="21:22" x14ac:dyDescent="0.3">
      <c r="U258" s="1" t="s">
        <v>556</v>
      </c>
      <c r="V258" s="1"/>
    </row>
    <row r="259" spans="21:22" x14ac:dyDescent="0.3">
      <c r="U259" s="1" t="s">
        <v>557</v>
      </c>
      <c r="V259" s="1"/>
    </row>
    <row r="260" spans="21:22" x14ac:dyDescent="0.3">
      <c r="U260" s="1" t="s">
        <v>558</v>
      </c>
      <c r="V260" s="1"/>
    </row>
    <row r="261" spans="21:22" x14ac:dyDescent="0.3">
      <c r="U261" s="1" t="s">
        <v>559</v>
      </c>
      <c r="V261" s="1"/>
    </row>
    <row r="262" spans="21:22" x14ac:dyDescent="0.3">
      <c r="U262" s="1" t="s">
        <v>560</v>
      </c>
      <c r="V262" s="1"/>
    </row>
    <row r="263" spans="21:22" x14ac:dyDescent="0.3">
      <c r="U263" s="1" t="s">
        <v>561</v>
      </c>
      <c r="V263" s="1"/>
    </row>
    <row r="264" spans="21:22" x14ac:dyDescent="0.3">
      <c r="U264" s="1" t="s">
        <v>562</v>
      </c>
      <c r="V264" s="1"/>
    </row>
    <row r="265" spans="21:22" x14ac:dyDescent="0.3">
      <c r="U265" s="1" t="s">
        <v>563</v>
      </c>
      <c r="V265" s="1"/>
    </row>
    <row r="266" spans="21:22" x14ac:dyDescent="0.3">
      <c r="U266" s="1" t="s">
        <v>564</v>
      </c>
      <c r="V266" s="1"/>
    </row>
    <row r="267" spans="21:22" x14ac:dyDescent="0.3">
      <c r="U267" s="1" t="s">
        <v>565</v>
      </c>
      <c r="V267" s="1"/>
    </row>
    <row r="268" spans="21:22" x14ac:dyDescent="0.3">
      <c r="U268" s="1" t="s">
        <v>566</v>
      </c>
      <c r="V268" s="1"/>
    </row>
    <row r="269" spans="21:22" x14ac:dyDescent="0.3">
      <c r="U269" s="1" t="s">
        <v>567</v>
      </c>
      <c r="V269" s="1"/>
    </row>
    <row r="270" spans="21:22" x14ac:dyDescent="0.3">
      <c r="U270" s="1" t="s">
        <v>568</v>
      </c>
      <c r="V270" s="1"/>
    </row>
    <row r="271" spans="21:22" x14ac:dyDescent="0.3">
      <c r="U271" s="1" t="s">
        <v>569</v>
      </c>
      <c r="V271" s="1"/>
    </row>
    <row r="272" spans="21:22" x14ac:dyDescent="0.3">
      <c r="U272" s="1" t="s">
        <v>570</v>
      </c>
      <c r="V272" s="1"/>
    </row>
    <row r="273" spans="21:22" x14ac:dyDescent="0.3">
      <c r="U273" s="1" t="s">
        <v>571</v>
      </c>
      <c r="V273" s="1"/>
    </row>
    <row r="274" spans="21:22" x14ac:dyDescent="0.3">
      <c r="U274" s="1" t="s">
        <v>572</v>
      </c>
      <c r="V274" s="1"/>
    </row>
    <row r="275" spans="21:22" x14ac:dyDescent="0.3">
      <c r="U275" s="1" t="s">
        <v>573</v>
      </c>
      <c r="V275" s="1"/>
    </row>
    <row r="276" spans="21:22" x14ac:dyDescent="0.3">
      <c r="U276" s="1" t="s">
        <v>574</v>
      </c>
      <c r="V276" s="1"/>
    </row>
    <row r="277" spans="21:22" x14ac:dyDescent="0.3">
      <c r="U277" s="1" t="s">
        <v>575</v>
      </c>
      <c r="V277" s="1"/>
    </row>
    <row r="278" spans="21:22" x14ac:dyDescent="0.3">
      <c r="U278" s="1" t="s">
        <v>576</v>
      </c>
      <c r="V278" s="1"/>
    </row>
    <row r="279" spans="21:22" x14ac:dyDescent="0.3">
      <c r="U279" s="1" t="s">
        <v>577</v>
      </c>
      <c r="V279" s="1"/>
    </row>
    <row r="280" spans="21:22" x14ac:dyDescent="0.3">
      <c r="U280" s="1" t="s">
        <v>578</v>
      </c>
      <c r="V280" s="1"/>
    </row>
    <row r="281" spans="21:22" x14ac:dyDescent="0.3">
      <c r="U281" s="1" t="s">
        <v>579</v>
      </c>
      <c r="V281" s="1"/>
    </row>
    <row r="282" spans="21:22" x14ac:dyDescent="0.3">
      <c r="U282" s="1" t="s">
        <v>580</v>
      </c>
      <c r="V282" s="1"/>
    </row>
    <row r="283" spans="21:22" x14ac:dyDescent="0.3">
      <c r="U283" s="1" t="s">
        <v>581</v>
      </c>
      <c r="V283" s="1"/>
    </row>
    <row r="284" spans="21:22" x14ac:dyDescent="0.3">
      <c r="U284" s="1" t="s">
        <v>582</v>
      </c>
      <c r="V284" s="1"/>
    </row>
    <row r="285" spans="21:22" x14ac:dyDescent="0.3">
      <c r="U285" s="1" t="s">
        <v>583</v>
      </c>
      <c r="V285" s="1"/>
    </row>
    <row r="286" spans="21:22" x14ac:dyDescent="0.3">
      <c r="U286" s="1" t="s">
        <v>584</v>
      </c>
      <c r="V286" s="1"/>
    </row>
    <row r="287" spans="21:22" x14ac:dyDescent="0.3">
      <c r="U287" s="1" t="s">
        <v>585</v>
      </c>
      <c r="V287" s="1"/>
    </row>
    <row r="288" spans="21:22" x14ac:dyDescent="0.3">
      <c r="U288" s="1" t="s">
        <v>586</v>
      </c>
      <c r="V288" s="1"/>
    </row>
    <row r="289" spans="21:22" x14ac:dyDescent="0.3">
      <c r="U289" s="1" t="s">
        <v>587</v>
      </c>
      <c r="V289" s="1"/>
    </row>
    <row r="290" spans="21:22" x14ac:dyDescent="0.3">
      <c r="U290" s="1" t="s">
        <v>588</v>
      </c>
      <c r="V290" s="1"/>
    </row>
    <row r="291" spans="21:22" x14ac:dyDescent="0.3">
      <c r="U291" s="1" t="s">
        <v>589</v>
      </c>
      <c r="V291" s="1"/>
    </row>
    <row r="292" spans="21:22" x14ac:dyDescent="0.3">
      <c r="U292" s="1" t="s">
        <v>590</v>
      </c>
      <c r="V292" s="1"/>
    </row>
    <row r="293" spans="21:22" x14ac:dyDescent="0.3">
      <c r="U293" s="1" t="s">
        <v>591</v>
      </c>
      <c r="V293" s="1"/>
    </row>
    <row r="294" spans="21:22" x14ac:dyDescent="0.3">
      <c r="U294" s="1" t="s">
        <v>592</v>
      </c>
      <c r="V294" s="1"/>
    </row>
    <row r="295" spans="21:22" x14ac:dyDescent="0.3">
      <c r="U295" s="1" t="s">
        <v>593</v>
      </c>
      <c r="V295" s="1"/>
    </row>
    <row r="296" spans="21:22" x14ac:dyDescent="0.3">
      <c r="U296" s="1" t="s">
        <v>594</v>
      </c>
      <c r="V296" s="1"/>
    </row>
    <row r="297" spans="21:22" x14ac:dyDescent="0.3">
      <c r="U297" s="1" t="s">
        <v>595</v>
      </c>
      <c r="V297" s="1"/>
    </row>
    <row r="298" spans="21:22" x14ac:dyDescent="0.3">
      <c r="U298" s="1" t="s">
        <v>596</v>
      </c>
      <c r="V298" s="1"/>
    </row>
    <row r="299" spans="21:22" x14ac:dyDescent="0.3">
      <c r="U299" s="1" t="s">
        <v>597</v>
      </c>
      <c r="V299" s="1"/>
    </row>
    <row r="300" spans="21:22" x14ac:dyDescent="0.3">
      <c r="U300" s="1" t="s">
        <v>598</v>
      </c>
      <c r="V300" s="1"/>
    </row>
    <row r="301" spans="21:22" x14ac:dyDescent="0.3">
      <c r="U301" s="1" t="s">
        <v>599</v>
      </c>
      <c r="V301" s="1"/>
    </row>
    <row r="302" spans="21:22" x14ac:dyDescent="0.3">
      <c r="U302" s="1" t="s">
        <v>600</v>
      </c>
      <c r="V302" s="1"/>
    </row>
    <row r="303" spans="21:22" x14ac:dyDescent="0.3">
      <c r="U303" s="1" t="s">
        <v>601</v>
      </c>
      <c r="V303" s="1"/>
    </row>
    <row r="304" spans="21:22" x14ac:dyDescent="0.3">
      <c r="U304" s="1" t="s">
        <v>602</v>
      </c>
      <c r="V304" s="1"/>
    </row>
    <row r="305" spans="21:22" x14ac:dyDescent="0.3">
      <c r="U305" s="1" t="s">
        <v>603</v>
      </c>
      <c r="V305" s="1"/>
    </row>
    <row r="306" spans="21:22" x14ac:dyDescent="0.3">
      <c r="U306" s="1" t="s">
        <v>604</v>
      </c>
      <c r="V306" s="1"/>
    </row>
    <row r="307" spans="21:22" x14ac:dyDescent="0.3">
      <c r="U307" s="1" t="s">
        <v>605</v>
      </c>
      <c r="V307" s="1"/>
    </row>
    <row r="308" spans="21:22" x14ac:dyDescent="0.3">
      <c r="U308" s="1" t="s">
        <v>606</v>
      </c>
      <c r="V308" s="1"/>
    </row>
    <row r="309" spans="21:22" x14ac:dyDescent="0.3">
      <c r="U309" s="1" t="s">
        <v>607</v>
      </c>
      <c r="V309" s="1"/>
    </row>
    <row r="310" spans="21:22" x14ac:dyDescent="0.3">
      <c r="U310" s="1" t="s">
        <v>608</v>
      </c>
      <c r="V310" s="1"/>
    </row>
    <row r="311" spans="21:22" x14ac:dyDescent="0.3">
      <c r="U311" s="1" t="s">
        <v>609</v>
      </c>
      <c r="V311" s="1"/>
    </row>
    <row r="312" spans="21:22" x14ac:dyDescent="0.3">
      <c r="U312" s="1" t="s">
        <v>610</v>
      </c>
      <c r="V312" s="1"/>
    </row>
    <row r="313" spans="21:22" x14ac:dyDescent="0.3">
      <c r="U313" s="1" t="s">
        <v>611</v>
      </c>
      <c r="V313" s="1"/>
    </row>
    <row r="314" spans="21:22" x14ac:dyDescent="0.3">
      <c r="U314" s="1" t="s">
        <v>612</v>
      </c>
      <c r="V314" s="1"/>
    </row>
    <row r="315" spans="21:22" x14ac:dyDescent="0.3">
      <c r="U315" s="1" t="s">
        <v>613</v>
      </c>
      <c r="V315" s="1"/>
    </row>
    <row r="316" spans="21:22" x14ac:dyDescent="0.3">
      <c r="U316" s="1" t="s">
        <v>614</v>
      </c>
      <c r="V316" s="1"/>
    </row>
    <row r="317" spans="21:22" x14ac:dyDescent="0.3">
      <c r="U317" s="1" t="s">
        <v>615</v>
      </c>
      <c r="V317" s="1"/>
    </row>
    <row r="318" spans="21:22" x14ac:dyDescent="0.3">
      <c r="U318" s="1" t="s">
        <v>616</v>
      </c>
      <c r="V318" s="1"/>
    </row>
    <row r="319" spans="21:22" x14ac:dyDescent="0.3">
      <c r="U319" s="1" t="s">
        <v>617</v>
      </c>
      <c r="V319" s="1"/>
    </row>
    <row r="320" spans="21:22" x14ac:dyDescent="0.3">
      <c r="U320" s="1" t="s">
        <v>618</v>
      </c>
      <c r="V320" s="1"/>
    </row>
    <row r="321" spans="21:22" x14ac:dyDescent="0.3">
      <c r="U321" s="1" t="s">
        <v>619</v>
      </c>
      <c r="V321" s="1"/>
    </row>
    <row r="322" spans="21:22" x14ac:dyDescent="0.3">
      <c r="U322" s="1" t="s">
        <v>620</v>
      </c>
      <c r="V322" s="1"/>
    </row>
    <row r="323" spans="21:22" x14ac:dyDescent="0.3">
      <c r="U323" s="1" t="s">
        <v>621</v>
      </c>
      <c r="V323" s="1"/>
    </row>
    <row r="324" spans="21:22" x14ac:dyDescent="0.3">
      <c r="U324" s="1" t="s">
        <v>622</v>
      </c>
      <c r="V324" s="1"/>
    </row>
    <row r="325" spans="21:22" x14ac:dyDescent="0.3">
      <c r="U325" s="1" t="s">
        <v>623</v>
      </c>
      <c r="V325" s="1"/>
    </row>
    <row r="326" spans="21:22" x14ac:dyDescent="0.3">
      <c r="U326" s="1" t="s">
        <v>624</v>
      </c>
      <c r="V326" s="1"/>
    </row>
    <row r="327" spans="21:22" x14ac:dyDescent="0.3">
      <c r="U327" s="1" t="s">
        <v>625</v>
      </c>
      <c r="V327" s="1"/>
    </row>
    <row r="328" spans="21:22" x14ac:dyDescent="0.3">
      <c r="U328" s="1" t="s">
        <v>626</v>
      </c>
      <c r="V328" s="1"/>
    </row>
    <row r="329" spans="21:22" x14ac:dyDescent="0.3">
      <c r="U329" s="1" t="s">
        <v>627</v>
      </c>
      <c r="V329" s="1"/>
    </row>
    <row r="330" spans="21:22" x14ac:dyDescent="0.3">
      <c r="U330" s="1" t="s">
        <v>628</v>
      </c>
      <c r="V330" s="1"/>
    </row>
    <row r="331" spans="21:22" x14ac:dyDescent="0.3">
      <c r="U331" s="1" t="s">
        <v>629</v>
      </c>
      <c r="V331" s="1"/>
    </row>
    <row r="332" spans="21:22" x14ac:dyDescent="0.3">
      <c r="U332" s="1" t="s">
        <v>630</v>
      </c>
      <c r="V332" s="1"/>
    </row>
    <row r="333" spans="21:22" x14ac:dyDescent="0.3">
      <c r="U333" s="1" t="s">
        <v>631</v>
      </c>
      <c r="V333" s="1"/>
    </row>
    <row r="334" spans="21:22" x14ac:dyDescent="0.3">
      <c r="U334" s="1" t="s">
        <v>632</v>
      </c>
      <c r="V334" s="1"/>
    </row>
    <row r="335" spans="21:22" x14ac:dyDescent="0.3">
      <c r="U335" s="1" t="s">
        <v>633</v>
      </c>
      <c r="V335" s="1"/>
    </row>
    <row r="336" spans="21:22" x14ac:dyDescent="0.3">
      <c r="U336" s="1" t="s">
        <v>634</v>
      </c>
      <c r="V336" s="1"/>
    </row>
    <row r="337" spans="21:22" x14ac:dyDescent="0.3">
      <c r="U337" s="1" t="s">
        <v>635</v>
      </c>
      <c r="V337" s="1"/>
    </row>
    <row r="338" spans="21:22" x14ac:dyDescent="0.3">
      <c r="U338" s="1" t="s">
        <v>636</v>
      </c>
      <c r="V338" s="1"/>
    </row>
    <row r="339" spans="21:22" x14ac:dyDescent="0.3">
      <c r="U339" s="1" t="s">
        <v>637</v>
      </c>
      <c r="V339" s="1"/>
    </row>
    <row r="340" spans="21:22" x14ac:dyDescent="0.3">
      <c r="U340" s="1" t="s">
        <v>638</v>
      </c>
      <c r="V340" s="1"/>
    </row>
    <row r="341" spans="21:22" x14ac:dyDescent="0.3">
      <c r="U341" s="1" t="s">
        <v>639</v>
      </c>
      <c r="V341" s="1"/>
    </row>
    <row r="342" spans="21:22" x14ac:dyDescent="0.3">
      <c r="U342" s="1" t="s">
        <v>640</v>
      </c>
      <c r="V342" s="1"/>
    </row>
    <row r="343" spans="21:22" x14ac:dyDescent="0.3">
      <c r="U343" s="1" t="s">
        <v>641</v>
      </c>
      <c r="V343" s="1"/>
    </row>
    <row r="344" spans="21:22" x14ac:dyDescent="0.3">
      <c r="U344" s="1" t="s">
        <v>642</v>
      </c>
      <c r="V344" s="1"/>
    </row>
    <row r="345" spans="21:22" x14ac:dyDescent="0.3">
      <c r="U345" s="1" t="s">
        <v>643</v>
      </c>
      <c r="V345" s="1"/>
    </row>
    <row r="346" spans="21:22" x14ac:dyDescent="0.3">
      <c r="U346" s="1" t="s">
        <v>644</v>
      </c>
      <c r="V346" s="1"/>
    </row>
    <row r="347" spans="21:22" x14ac:dyDescent="0.3">
      <c r="U347" s="1" t="s">
        <v>645</v>
      </c>
      <c r="V347" s="1"/>
    </row>
    <row r="348" spans="21:22" x14ac:dyDescent="0.3">
      <c r="U348" s="1" t="s">
        <v>646</v>
      </c>
      <c r="V348" s="1"/>
    </row>
    <row r="349" spans="21:22" x14ac:dyDescent="0.3">
      <c r="U349" s="1" t="s">
        <v>647</v>
      </c>
      <c r="V349" s="1"/>
    </row>
    <row r="350" spans="21:22" x14ac:dyDescent="0.3">
      <c r="U350" s="1" t="s">
        <v>648</v>
      </c>
      <c r="V350" s="1"/>
    </row>
    <row r="351" spans="21:22" x14ac:dyDescent="0.3">
      <c r="U351" s="1" t="s">
        <v>649</v>
      </c>
      <c r="V351" s="1"/>
    </row>
    <row r="352" spans="21:22" x14ac:dyDescent="0.3">
      <c r="U352" s="1" t="s">
        <v>650</v>
      </c>
      <c r="V352" s="1"/>
    </row>
    <row r="353" spans="21:22" x14ac:dyDescent="0.3">
      <c r="U353" s="1" t="s">
        <v>651</v>
      </c>
      <c r="V353" s="1"/>
    </row>
    <row r="354" spans="21:22" x14ac:dyDescent="0.3">
      <c r="U354" s="1" t="s">
        <v>652</v>
      </c>
      <c r="V354" s="1"/>
    </row>
    <row r="355" spans="21:22" x14ac:dyDescent="0.3">
      <c r="U355" s="1" t="s">
        <v>653</v>
      </c>
      <c r="V355" s="1"/>
    </row>
    <row r="356" spans="21:22" x14ac:dyDescent="0.3">
      <c r="U356" s="1" t="s">
        <v>654</v>
      </c>
      <c r="V356" s="1"/>
    </row>
    <row r="357" spans="21:22" x14ac:dyDescent="0.3">
      <c r="U357" s="1" t="s">
        <v>655</v>
      </c>
      <c r="V357" s="1"/>
    </row>
    <row r="358" spans="21:22" x14ac:dyDescent="0.3">
      <c r="U358" s="1" t="s">
        <v>656</v>
      </c>
      <c r="V358" s="1"/>
    </row>
    <row r="359" spans="21:22" x14ac:dyDescent="0.3">
      <c r="U359" s="1" t="s">
        <v>657</v>
      </c>
      <c r="V359" s="1"/>
    </row>
    <row r="360" spans="21:22" x14ac:dyDescent="0.3">
      <c r="U360" s="1" t="s">
        <v>658</v>
      </c>
      <c r="V360" s="1"/>
    </row>
    <row r="361" spans="21:22" x14ac:dyDescent="0.3">
      <c r="U361" s="1" t="s">
        <v>659</v>
      </c>
      <c r="V361" s="1"/>
    </row>
    <row r="362" spans="21:22" x14ac:dyDescent="0.3">
      <c r="U362" s="1" t="s">
        <v>660</v>
      </c>
      <c r="V362" s="1"/>
    </row>
    <row r="363" spans="21:22" x14ac:dyDescent="0.3">
      <c r="U363" s="1" t="s">
        <v>661</v>
      </c>
      <c r="V363" s="1"/>
    </row>
    <row r="364" spans="21:22" x14ac:dyDescent="0.3">
      <c r="U364" s="1" t="s">
        <v>662</v>
      </c>
      <c r="V364" s="1"/>
    </row>
    <row r="365" spans="21:22" x14ac:dyDescent="0.3">
      <c r="U365" s="1" t="s">
        <v>663</v>
      </c>
      <c r="V365" s="1"/>
    </row>
    <row r="366" spans="21:22" x14ac:dyDescent="0.3">
      <c r="U366" s="1" t="s">
        <v>664</v>
      </c>
      <c r="V366" s="1"/>
    </row>
    <row r="367" spans="21:22" x14ac:dyDescent="0.3">
      <c r="U367" s="1" t="s">
        <v>665</v>
      </c>
      <c r="V367" s="1"/>
    </row>
    <row r="368" spans="21:22" x14ac:dyDescent="0.3">
      <c r="U368" s="1" t="s">
        <v>666</v>
      </c>
      <c r="V368" s="1"/>
    </row>
    <row r="369" spans="21:22" x14ac:dyDescent="0.3">
      <c r="U369" s="1" t="s">
        <v>667</v>
      </c>
      <c r="V369" s="1"/>
    </row>
    <row r="370" spans="21:22" x14ac:dyDescent="0.3">
      <c r="U370" s="1" t="s">
        <v>668</v>
      </c>
      <c r="V370" s="1"/>
    </row>
    <row r="371" spans="21:22" x14ac:dyDescent="0.3">
      <c r="U371" s="1" t="s">
        <v>669</v>
      </c>
      <c r="V371" s="1"/>
    </row>
    <row r="372" spans="21:22" x14ac:dyDescent="0.3">
      <c r="U372" s="1" t="s">
        <v>670</v>
      </c>
      <c r="V372" s="1"/>
    </row>
    <row r="373" spans="21:22" x14ac:dyDescent="0.3">
      <c r="U373" s="1" t="s">
        <v>671</v>
      </c>
      <c r="V373" s="1"/>
    </row>
    <row r="374" spans="21:22" x14ac:dyDescent="0.3">
      <c r="U374" s="1" t="s">
        <v>672</v>
      </c>
      <c r="V374" s="1"/>
    </row>
    <row r="375" spans="21:22" x14ac:dyDescent="0.3">
      <c r="U375" s="1" t="s">
        <v>673</v>
      </c>
      <c r="V375" s="1"/>
    </row>
    <row r="376" spans="21:22" x14ac:dyDescent="0.3">
      <c r="U376" s="1" t="s">
        <v>674</v>
      </c>
      <c r="V376" s="1"/>
    </row>
    <row r="377" spans="21:22" x14ac:dyDescent="0.3">
      <c r="U377" s="1" t="s">
        <v>675</v>
      </c>
      <c r="V377" s="1"/>
    </row>
    <row r="378" spans="21:22" x14ac:dyDescent="0.3">
      <c r="U378" s="1" t="s">
        <v>676</v>
      </c>
      <c r="V378" s="1"/>
    </row>
    <row r="379" spans="21:22" x14ac:dyDescent="0.3">
      <c r="U379" s="1" t="s">
        <v>677</v>
      </c>
      <c r="V379" s="1"/>
    </row>
    <row r="380" spans="21:22" x14ac:dyDescent="0.3">
      <c r="U380" s="1" t="s">
        <v>678</v>
      </c>
      <c r="V380" s="1"/>
    </row>
    <row r="381" spans="21:22" x14ac:dyDescent="0.3">
      <c r="U381" s="1" t="s">
        <v>679</v>
      </c>
      <c r="V381" s="1"/>
    </row>
    <row r="382" spans="21:22" x14ac:dyDescent="0.3">
      <c r="U382" s="1" t="s">
        <v>680</v>
      </c>
      <c r="V382" s="1"/>
    </row>
    <row r="383" spans="21:22" x14ac:dyDescent="0.3">
      <c r="U383" s="1" t="s">
        <v>681</v>
      </c>
      <c r="V383" s="1"/>
    </row>
    <row r="384" spans="21:22" x14ac:dyDescent="0.3">
      <c r="U384" s="1" t="s">
        <v>682</v>
      </c>
      <c r="V384" s="1"/>
    </row>
    <row r="385" spans="21:22" x14ac:dyDescent="0.3">
      <c r="U385" s="1" t="s">
        <v>683</v>
      </c>
      <c r="V385" s="1"/>
    </row>
    <row r="386" spans="21:22" x14ac:dyDescent="0.3">
      <c r="U386" s="1" t="s">
        <v>684</v>
      </c>
      <c r="V386" s="1"/>
    </row>
    <row r="387" spans="21:22" x14ac:dyDescent="0.3">
      <c r="U387" s="1" t="s">
        <v>685</v>
      </c>
      <c r="V387" s="1"/>
    </row>
    <row r="388" spans="21:22" x14ac:dyDescent="0.3">
      <c r="U388" s="1" t="s">
        <v>686</v>
      </c>
      <c r="V388" s="1"/>
    </row>
    <row r="389" spans="21:22" x14ac:dyDescent="0.3">
      <c r="U389" s="1" t="s">
        <v>687</v>
      </c>
      <c r="V389" s="1"/>
    </row>
    <row r="390" spans="21:22" x14ac:dyDescent="0.3">
      <c r="U390" s="1" t="s">
        <v>688</v>
      </c>
      <c r="V390" s="1"/>
    </row>
    <row r="391" spans="21:22" x14ac:dyDescent="0.3">
      <c r="U391" s="1" t="s">
        <v>689</v>
      </c>
      <c r="V391" s="1"/>
    </row>
    <row r="392" spans="21:22" x14ac:dyDescent="0.3">
      <c r="U392" s="1" t="s">
        <v>690</v>
      </c>
      <c r="V392" s="1"/>
    </row>
    <row r="393" spans="21:22" x14ac:dyDescent="0.3">
      <c r="U393" s="1" t="s">
        <v>691</v>
      </c>
      <c r="V393" s="1"/>
    </row>
    <row r="394" spans="21:22" x14ac:dyDescent="0.3">
      <c r="U394" s="1" t="s">
        <v>692</v>
      </c>
      <c r="V394" s="1"/>
    </row>
    <row r="395" spans="21:22" x14ac:dyDescent="0.3">
      <c r="U395" s="1" t="s">
        <v>693</v>
      </c>
      <c r="V395" s="1"/>
    </row>
    <row r="396" spans="21:22" x14ac:dyDescent="0.3">
      <c r="U396" s="1" t="s">
        <v>694</v>
      </c>
      <c r="V396" s="1"/>
    </row>
    <row r="397" spans="21:22" x14ac:dyDescent="0.3">
      <c r="U397" s="1" t="s">
        <v>695</v>
      </c>
      <c r="V397" s="1"/>
    </row>
    <row r="398" spans="21:22" x14ac:dyDescent="0.3">
      <c r="U398" s="1" t="s">
        <v>696</v>
      </c>
      <c r="V398" s="1"/>
    </row>
    <row r="399" spans="21:22" x14ac:dyDescent="0.3">
      <c r="U399" s="1" t="s">
        <v>697</v>
      </c>
      <c r="V399" s="1"/>
    </row>
    <row r="400" spans="21:22" x14ac:dyDescent="0.3">
      <c r="U400" s="1" t="s">
        <v>698</v>
      </c>
      <c r="V400" s="1"/>
    </row>
    <row r="401" spans="21:22" x14ac:dyDescent="0.3">
      <c r="U401" s="1" t="s">
        <v>699</v>
      </c>
      <c r="V401" s="1"/>
    </row>
    <row r="402" spans="21:22" x14ac:dyDescent="0.3">
      <c r="U402" s="1" t="s">
        <v>700</v>
      </c>
      <c r="V402" s="1"/>
    </row>
    <row r="403" spans="21:22" x14ac:dyDescent="0.3">
      <c r="U403" s="1" t="s">
        <v>701</v>
      </c>
      <c r="V403" s="1"/>
    </row>
    <row r="404" spans="21:22" x14ac:dyDescent="0.3">
      <c r="U404" s="1" t="s">
        <v>702</v>
      </c>
      <c r="V404" s="1"/>
    </row>
    <row r="405" spans="21:22" x14ac:dyDescent="0.3">
      <c r="U405" s="1" t="s">
        <v>703</v>
      </c>
      <c r="V405" s="1"/>
    </row>
    <row r="406" spans="21:22" x14ac:dyDescent="0.3">
      <c r="U406" s="1" t="s">
        <v>704</v>
      </c>
      <c r="V406" s="1"/>
    </row>
    <row r="407" spans="21:22" x14ac:dyDescent="0.3">
      <c r="U407" s="1" t="s">
        <v>705</v>
      </c>
      <c r="V407" s="1"/>
    </row>
    <row r="408" spans="21:22" x14ac:dyDescent="0.3">
      <c r="U408" s="1" t="s">
        <v>706</v>
      </c>
      <c r="V408" s="1"/>
    </row>
    <row r="409" spans="21:22" x14ac:dyDescent="0.3">
      <c r="U409" s="1" t="s">
        <v>707</v>
      </c>
      <c r="V409" s="1"/>
    </row>
    <row r="410" spans="21:22" x14ac:dyDescent="0.3">
      <c r="U410" s="1" t="s">
        <v>708</v>
      </c>
      <c r="V410" s="1"/>
    </row>
    <row r="411" spans="21:22" x14ac:dyDescent="0.3">
      <c r="U411" s="1" t="s">
        <v>709</v>
      </c>
      <c r="V411" s="1"/>
    </row>
    <row r="412" spans="21:22" x14ac:dyDescent="0.3">
      <c r="U412" s="1" t="s">
        <v>710</v>
      </c>
      <c r="V412" s="1"/>
    </row>
    <row r="413" spans="21:22" x14ac:dyDescent="0.3">
      <c r="U413" s="1" t="s">
        <v>711</v>
      </c>
      <c r="V413" s="1"/>
    </row>
    <row r="414" spans="21:22" x14ac:dyDescent="0.3">
      <c r="U414" s="1" t="s">
        <v>712</v>
      </c>
      <c r="V414" s="1"/>
    </row>
    <row r="415" spans="21:22" x14ac:dyDescent="0.3">
      <c r="U415" s="1" t="s">
        <v>713</v>
      </c>
      <c r="V415" s="1"/>
    </row>
    <row r="416" spans="21:22" x14ac:dyDescent="0.3">
      <c r="U416" s="1" t="s">
        <v>714</v>
      </c>
      <c r="V416" s="1"/>
    </row>
    <row r="417" spans="21:22" x14ac:dyDescent="0.3">
      <c r="U417" s="1" t="s">
        <v>715</v>
      </c>
      <c r="V417" s="1"/>
    </row>
    <row r="418" spans="21:22" x14ac:dyDescent="0.3">
      <c r="U418" s="1" t="s">
        <v>716</v>
      </c>
      <c r="V418" s="1"/>
    </row>
    <row r="419" spans="21:22" x14ac:dyDescent="0.3">
      <c r="U419" s="1" t="s">
        <v>717</v>
      </c>
      <c r="V419" s="1"/>
    </row>
    <row r="420" spans="21:22" x14ac:dyDescent="0.3">
      <c r="U420" s="1" t="s">
        <v>718</v>
      </c>
      <c r="V420" s="1"/>
    </row>
    <row r="421" spans="21:22" x14ac:dyDescent="0.3">
      <c r="U421" s="1" t="s">
        <v>719</v>
      </c>
      <c r="V421" s="1"/>
    </row>
    <row r="422" spans="21:22" x14ac:dyDescent="0.3">
      <c r="U422" s="1" t="s">
        <v>720</v>
      </c>
      <c r="V422" s="1"/>
    </row>
    <row r="423" spans="21:22" x14ac:dyDescent="0.3">
      <c r="U423" s="1" t="s">
        <v>721</v>
      </c>
      <c r="V423" s="1"/>
    </row>
    <row r="424" spans="21:22" x14ac:dyDescent="0.3">
      <c r="U424" s="1" t="s">
        <v>722</v>
      </c>
      <c r="V424" s="1"/>
    </row>
    <row r="425" spans="21:22" x14ac:dyDescent="0.3">
      <c r="U425" s="1" t="s">
        <v>723</v>
      </c>
      <c r="V425" s="1"/>
    </row>
    <row r="426" spans="21:22" x14ac:dyDescent="0.3">
      <c r="U426" s="1" t="s">
        <v>724</v>
      </c>
      <c r="V426" s="1"/>
    </row>
    <row r="427" spans="21:22" x14ac:dyDescent="0.3">
      <c r="U427" s="1" t="s">
        <v>725</v>
      </c>
      <c r="V427" s="1"/>
    </row>
    <row r="428" spans="21:22" x14ac:dyDescent="0.3">
      <c r="U428" s="1" t="s">
        <v>726</v>
      </c>
      <c r="V428" s="1"/>
    </row>
    <row r="429" spans="21:22" x14ac:dyDescent="0.3">
      <c r="U429" s="1" t="s">
        <v>727</v>
      </c>
      <c r="V429" s="1"/>
    </row>
    <row r="430" spans="21:22" x14ac:dyDescent="0.3">
      <c r="U430" s="1" t="s">
        <v>728</v>
      </c>
      <c r="V430" s="1"/>
    </row>
    <row r="431" spans="21:22" x14ac:dyDescent="0.3">
      <c r="U431" s="1" t="s">
        <v>729</v>
      </c>
      <c r="V431" s="1"/>
    </row>
    <row r="432" spans="21:22" x14ac:dyDescent="0.3">
      <c r="U432" s="1" t="s">
        <v>730</v>
      </c>
      <c r="V432" s="1"/>
    </row>
    <row r="433" spans="21:22" x14ac:dyDescent="0.3">
      <c r="U433" s="1" t="s">
        <v>731</v>
      </c>
      <c r="V433" s="1"/>
    </row>
    <row r="434" spans="21:22" x14ac:dyDescent="0.3">
      <c r="U434" s="1" t="s">
        <v>732</v>
      </c>
      <c r="V434" s="1"/>
    </row>
    <row r="435" spans="21:22" x14ac:dyDescent="0.3">
      <c r="U435" s="1" t="s">
        <v>733</v>
      </c>
      <c r="V435" s="1"/>
    </row>
    <row r="436" spans="21:22" x14ac:dyDescent="0.3">
      <c r="U436" s="1" t="s">
        <v>734</v>
      </c>
      <c r="V436" s="1"/>
    </row>
    <row r="437" spans="21:22" x14ac:dyDescent="0.3">
      <c r="U437" s="1" t="s">
        <v>735</v>
      </c>
      <c r="V437" s="1"/>
    </row>
    <row r="438" spans="21:22" x14ac:dyDescent="0.3">
      <c r="U438" s="1" t="s">
        <v>736</v>
      </c>
      <c r="V438" s="1"/>
    </row>
    <row r="439" spans="21:22" x14ac:dyDescent="0.3">
      <c r="U439" s="1" t="s">
        <v>737</v>
      </c>
      <c r="V439" s="1"/>
    </row>
    <row r="440" spans="21:22" x14ac:dyDescent="0.3">
      <c r="U440" s="1" t="s">
        <v>738</v>
      </c>
      <c r="V440" s="1"/>
    </row>
    <row r="441" spans="21:22" x14ac:dyDescent="0.3">
      <c r="U441" s="1" t="s">
        <v>739</v>
      </c>
      <c r="V441" s="1"/>
    </row>
    <row r="442" spans="21:22" x14ac:dyDescent="0.3">
      <c r="U442" s="1" t="s">
        <v>740</v>
      </c>
      <c r="V442" s="1"/>
    </row>
    <row r="443" spans="21:22" x14ac:dyDescent="0.3">
      <c r="U443" s="1" t="s">
        <v>741</v>
      </c>
      <c r="V443" s="1"/>
    </row>
    <row r="444" spans="21:22" x14ac:dyDescent="0.3">
      <c r="U444" s="1" t="s">
        <v>742</v>
      </c>
      <c r="V444" s="1"/>
    </row>
    <row r="445" spans="21:22" x14ac:dyDescent="0.3">
      <c r="U445" s="1" t="s">
        <v>743</v>
      </c>
      <c r="V445" s="1"/>
    </row>
    <row r="446" spans="21:22" x14ac:dyDescent="0.3">
      <c r="U446" s="1" t="s">
        <v>744</v>
      </c>
      <c r="V446" s="1"/>
    </row>
    <row r="447" spans="21:22" x14ac:dyDescent="0.3">
      <c r="U447" s="1" t="s">
        <v>745</v>
      </c>
      <c r="V447" s="1"/>
    </row>
    <row r="448" spans="21:22" x14ac:dyDescent="0.3">
      <c r="U448" s="1" t="s">
        <v>746</v>
      </c>
      <c r="V448" s="1"/>
    </row>
    <row r="449" spans="21:22" x14ac:dyDescent="0.3">
      <c r="U449" s="1" t="s">
        <v>747</v>
      </c>
      <c r="V449" s="1"/>
    </row>
    <row r="450" spans="21:22" x14ac:dyDescent="0.3">
      <c r="U450" s="1" t="s">
        <v>748</v>
      </c>
      <c r="V450" s="1"/>
    </row>
    <row r="451" spans="21:22" x14ac:dyDescent="0.3">
      <c r="U451" s="1" t="s">
        <v>749</v>
      </c>
      <c r="V451" s="1"/>
    </row>
    <row r="452" spans="21:22" x14ac:dyDescent="0.3">
      <c r="U452" s="1" t="s">
        <v>750</v>
      </c>
      <c r="V452" s="1"/>
    </row>
    <row r="453" spans="21:22" x14ac:dyDescent="0.3">
      <c r="U453" s="1" t="s">
        <v>751</v>
      </c>
      <c r="V453" s="1"/>
    </row>
    <row r="454" spans="21:22" x14ac:dyDescent="0.3">
      <c r="U454" s="1" t="s">
        <v>752</v>
      </c>
      <c r="V454" s="1"/>
    </row>
    <row r="455" spans="21:22" x14ac:dyDescent="0.3">
      <c r="U455" s="1" t="s">
        <v>753</v>
      </c>
      <c r="V455" s="1"/>
    </row>
    <row r="456" spans="21:22" x14ac:dyDescent="0.3">
      <c r="U456" s="1" t="s">
        <v>754</v>
      </c>
      <c r="V456" s="1"/>
    </row>
    <row r="457" spans="21:22" x14ac:dyDescent="0.3">
      <c r="U457" s="1" t="s">
        <v>755</v>
      </c>
      <c r="V457" s="1"/>
    </row>
    <row r="458" spans="21:22" x14ac:dyDescent="0.3">
      <c r="U458" s="1" t="s">
        <v>756</v>
      </c>
      <c r="V458" s="1"/>
    </row>
    <row r="459" spans="21:22" x14ac:dyDescent="0.3">
      <c r="U459" s="1" t="s">
        <v>757</v>
      </c>
      <c r="V459" s="1"/>
    </row>
    <row r="460" spans="21:22" x14ac:dyDescent="0.3">
      <c r="U460" s="1" t="s">
        <v>758</v>
      </c>
      <c r="V460" s="1"/>
    </row>
    <row r="461" spans="21:22" x14ac:dyDescent="0.3">
      <c r="U461" s="1" t="s">
        <v>759</v>
      </c>
      <c r="V461" s="1"/>
    </row>
    <row r="462" spans="21:22" x14ac:dyDescent="0.3">
      <c r="U462" s="1" t="s">
        <v>760</v>
      </c>
      <c r="V462" s="1"/>
    </row>
    <row r="463" spans="21:22" x14ac:dyDescent="0.3">
      <c r="U463" s="1" t="s">
        <v>761</v>
      </c>
      <c r="V463" s="1"/>
    </row>
    <row r="464" spans="21:22" x14ac:dyDescent="0.3">
      <c r="U464" s="1" t="s">
        <v>762</v>
      </c>
      <c r="V464" s="1"/>
    </row>
    <row r="465" spans="21:22" x14ac:dyDescent="0.3">
      <c r="U465" s="1" t="s">
        <v>763</v>
      </c>
      <c r="V465" s="1"/>
    </row>
    <row r="466" spans="21:22" x14ac:dyDescent="0.3">
      <c r="U466" s="1" t="s">
        <v>764</v>
      </c>
      <c r="V466" s="1"/>
    </row>
    <row r="467" spans="21:22" x14ac:dyDescent="0.3">
      <c r="U467" s="1" t="s">
        <v>765</v>
      </c>
      <c r="V467" s="1"/>
    </row>
    <row r="468" spans="21:22" x14ac:dyDescent="0.3">
      <c r="U468" s="1" t="s">
        <v>766</v>
      </c>
      <c r="V468" s="1"/>
    </row>
    <row r="469" spans="21:22" x14ac:dyDescent="0.3">
      <c r="U469" s="1" t="s">
        <v>767</v>
      </c>
      <c r="V469" s="1"/>
    </row>
    <row r="470" spans="21:22" x14ac:dyDescent="0.3">
      <c r="U470" s="1" t="s">
        <v>768</v>
      </c>
      <c r="V470" s="1"/>
    </row>
    <row r="471" spans="21:22" x14ac:dyDescent="0.3">
      <c r="U471" s="1" t="s">
        <v>769</v>
      </c>
      <c r="V471" s="1"/>
    </row>
    <row r="472" spans="21:22" x14ac:dyDescent="0.3">
      <c r="U472" s="1" t="s">
        <v>770</v>
      </c>
      <c r="V472" s="1"/>
    </row>
    <row r="473" spans="21:22" x14ac:dyDescent="0.3">
      <c r="U473" s="1" t="s">
        <v>771</v>
      </c>
      <c r="V473" s="1"/>
    </row>
    <row r="474" spans="21:22" x14ac:dyDescent="0.3">
      <c r="U474" s="1" t="s">
        <v>772</v>
      </c>
      <c r="V474" s="1"/>
    </row>
    <row r="475" spans="21:22" x14ac:dyDescent="0.3">
      <c r="U475" s="1" t="s">
        <v>773</v>
      </c>
      <c r="V475" s="1"/>
    </row>
    <row r="476" spans="21:22" x14ac:dyDescent="0.3">
      <c r="U476" s="1" t="s">
        <v>774</v>
      </c>
      <c r="V476" s="1"/>
    </row>
    <row r="477" spans="21:22" x14ac:dyDescent="0.3">
      <c r="U477" s="1" t="s">
        <v>775</v>
      </c>
      <c r="V477" s="1"/>
    </row>
    <row r="478" spans="21:22" x14ac:dyDescent="0.3">
      <c r="U478" s="1" t="s">
        <v>776</v>
      </c>
      <c r="V478" s="1"/>
    </row>
    <row r="479" spans="21:22" x14ac:dyDescent="0.3">
      <c r="U479" s="1" t="s">
        <v>777</v>
      </c>
      <c r="V479" s="1"/>
    </row>
    <row r="480" spans="21:22" x14ac:dyDescent="0.3">
      <c r="U480" s="1" t="s">
        <v>778</v>
      </c>
      <c r="V480" s="1"/>
    </row>
    <row r="481" spans="21:22" x14ac:dyDescent="0.3">
      <c r="U481" s="1" t="s">
        <v>779</v>
      </c>
      <c r="V481" s="1"/>
    </row>
    <row r="482" spans="21:22" x14ac:dyDescent="0.3">
      <c r="U482" s="1" t="s">
        <v>780</v>
      </c>
      <c r="V482" s="1"/>
    </row>
    <row r="483" spans="21:22" x14ac:dyDescent="0.3">
      <c r="U483" s="1" t="s">
        <v>781</v>
      </c>
      <c r="V483" s="1"/>
    </row>
    <row r="484" spans="21:22" x14ac:dyDescent="0.3">
      <c r="U484" s="1" t="s">
        <v>782</v>
      </c>
      <c r="V484" s="1"/>
    </row>
    <row r="485" spans="21:22" x14ac:dyDescent="0.3">
      <c r="U485" s="1" t="s">
        <v>783</v>
      </c>
      <c r="V485" s="1"/>
    </row>
    <row r="486" spans="21:22" x14ac:dyDescent="0.3">
      <c r="U486" s="1" t="s">
        <v>784</v>
      </c>
      <c r="V486" s="1"/>
    </row>
    <row r="487" spans="21:22" x14ac:dyDescent="0.3">
      <c r="U487" s="1" t="s">
        <v>785</v>
      </c>
      <c r="V487" s="1"/>
    </row>
    <row r="488" spans="21:22" x14ac:dyDescent="0.3">
      <c r="U488" s="1" t="s">
        <v>786</v>
      </c>
      <c r="V488" s="1"/>
    </row>
    <row r="489" spans="21:22" x14ac:dyDescent="0.3">
      <c r="U489" s="1" t="s">
        <v>787</v>
      </c>
      <c r="V489" s="1"/>
    </row>
    <row r="490" spans="21:22" x14ac:dyDescent="0.3">
      <c r="U490" s="1" t="s">
        <v>788</v>
      </c>
      <c r="V490" s="1"/>
    </row>
    <row r="491" spans="21:22" x14ac:dyDescent="0.3">
      <c r="U491" s="1" t="s">
        <v>789</v>
      </c>
      <c r="V491" s="1"/>
    </row>
    <row r="492" spans="21:22" x14ac:dyDescent="0.3">
      <c r="U492" s="1" t="s">
        <v>790</v>
      </c>
      <c r="V492" s="1"/>
    </row>
    <row r="493" spans="21:22" x14ac:dyDescent="0.3">
      <c r="U493" s="1" t="s">
        <v>791</v>
      </c>
      <c r="V493" s="1"/>
    </row>
    <row r="494" spans="21:22" x14ac:dyDescent="0.3">
      <c r="U494" s="1" t="s">
        <v>792</v>
      </c>
      <c r="V494" s="1"/>
    </row>
    <row r="495" spans="21:22" x14ac:dyDescent="0.3">
      <c r="U495" s="1" t="s">
        <v>793</v>
      </c>
      <c r="V495" s="1"/>
    </row>
    <row r="496" spans="21:22" x14ac:dyDescent="0.3">
      <c r="U496" s="1" t="s">
        <v>794</v>
      </c>
      <c r="V496" s="1"/>
    </row>
    <row r="497" spans="21:22" x14ac:dyDescent="0.3">
      <c r="U497" s="1" t="s">
        <v>795</v>
      </c>
      <c r="V497" s="1"/>
    </row>
    <row r="498" spans="21:22" x14ac:dyDescent="0.3">
      <c r="U498" s="1" t="s">
        <v>796</v>
      </c>
      <c r="V498" s="1"/>
    </row>
    <row r="499" spans="21:22" x14ac:dyDescent="0.3">
      <c r="U499" s="1" t="s">
        <v>797</v>
      </c>
      <c r="V499" s="1"/>
    </row>
    <row r="500" spans="21:22" x14ac:dyDescent="0.3">
      <c r="U500" s="1" t="s">
        <v>798</v>
      </c>
      <c r="V500" s="1"/>
    </row>
    <row r="501" spans="21:22" x14ac:dyDescent="0.3">
      <c r="U501" s="1" t="s">
        <v>799</v>
      </c>
      <c r="V501" s="1"/>
    </row>
    <row r="502" spans="21:22" x14ac:dyDescent="0.3">
      <c r="U502" s="1" t="s">
        <v>800</v>
      </c>
      <c r="V502" s="1"/>
    </row>
    <row r="503" spans="21:22" x14ac:dyDescent="0.3">
      <c r="U503" s="1" t="s">
        <v>801</v>
      </c>
      <c r="V503" s="1"/>
    </row>
    <row r="504" spans="21:22" x14ac:dyDescent="0.3">
      <c r="U504" s="1" t="s">
        <v>802</v>
      </c>
      <c r="V504" s="1"/>
    </row>
    <row r="505" spans="21:22" x14ac:dyDescent="0.3">
      <c r="U505" s="1" t="s">
        <v>803</v>
      </c>
      <c r="V505" s="1"/>
    </row>
    <row r="506" spans="21:22" x14ac:dyDescent="0.3">
      <c r="U506" s="1" t="s">
        <v>804</v>
      </c>
      <c r="V506" s="1"/>
    </row>
    <row r="507" spans="21:22" x14ac:dyDescent="0.3">
      <c r="U507" s="1" t="s">
        <v>805</v>
      </c>
      <c r="V507" s="1"/>
    </row>
    <row r="508" spans="21:22" x14ac:dyDescent="0.3">
      <c r="U508" s="1" t="s">
        <v>806</v>
      </c>
      <c r="V508" s="1"/>
    </row>
    <row r="509" spans="21:22" x14ac:dyDescent="0.3">
      <c r="U509" s="1" t="s">
        <v>807</v>
      </c>
      <c r="V509" s="1"/>
    </row>
    <row r="510" spans="21:22" x14ac:dyDescent="0.3">
      <c r="U510" s="1" t="s">
        <v>808</v>
      </c>
      <c r="V510" s="1"/>
    </row>
    <row r="511" spans="21:22" x14ac:dyDescent="0.3">
      <c r="U511" s="1" t="s">
        <v>809</v>
      </c>
      <c r="V511" s="1"/>
    </row>
    <row r="512" spans="21:22" x14ac:dyDescent="0.3">
      <c r="U512" s="1" t="s">
        <v>810</v>
      </c>
      <c r="V512" s="1"/>
    </row>
    <row r="513" spans="21:22" x14ac:dyDescent="0.3">
      <c r="U513" s="1" t="s">
        <v>811</v>
      </c>
      <c r="V513" s="1"/>
    </row>
    <row r="514" spans="21:22" x14ac:dyDescent="0.3">
      <c r="U514" s="1" t="s">
        <v>812</v>
      </c>
      <c r="V514" s="1"/>
    </row>
    <row r="515" spans="21:22" x14ac:dyDescent="0.3">
      <c r="U515" s="1" t="s">
        <v>813</v>
      </c>
      <c r="V515" s="1"/>
    </row>
    <row r="516" spans="21:22" x14ac:dyDescent="0.3">
      <c r="U516" s="1" t="s">
        <v>814</v>
      </c>
      <c r="V516" s="1"/>
    </row>
    <row r="517" spans="21:22" x14ac:dyDescent="0.3">
      <c r="U517" s="1" t="s">
        <v>815</v>
      </c>
      <c r="V517" s="1"/>
    </row>
    <row r="518" spans="21:22" x14ac:dyDescent="0.3">
      <c r="U518" s="1" t="s">
        <v>816</v>
      </c>
      <c r="V518" s="1"/>
    </row>
    <row r="519" spans="21:22" x14ac:dyDescent="0.3">
      <c r="U519" s="1" t="s">
        <v>817</v>
      </c>
      <c r="V519" s="1"/>
    </row>
    <row r="520" spans="21:22" x14ac:dyDescent="0.3">
      <c r="U520" s="1" t="s">
        <v>818</v>
      </c>
      <c r="V520" s="1"/>
    </row>
    <row r="521" spans="21:22" x14ac:dyDescent="0.3">
      <c r="U521" s="1" t="s">
        <v>819</v>
      </c>
      <c r="V521" s="1"/>
    </row>
    <row r="522" spans="21:22" x14ac:dyDescent="0.3">
      <c r="U522" s="1" t="s">
        <v>820</v>
      </c>
      <c r="V522" s="1"/>
    </row>
    <row r="523" spans="21:22" x14ac:dyDescent="0.3">
      <c r="U523" s="1" t="s">
        <v>821</v>
      </c>
      <c r="V523" s="1"/>
    </row>
    <row r="524" spans="21:22" x14ac:dyDescent="0.3">
      <c r="U524" s="1" t="s">
        <v>822</v>
      </c>
      <c r="V524" s="1"/>
    </row>
    <row r="525" spans="21:22" x14ac:dyDescent="0.3">
      <c r="U525" s="1" t="s">
        <v>823</v>
      </c>
      <c r="V525" s="1"/>
    </row>
    <row r="526" spans="21:22" x14ac:dyDescent="0.3">
      <c r="U526" s="1" t="s">
        <v>824</v>
      </c>
      <c r="V526" s="1"/>
    </row>
    <row r="527" spans="21:22" x14ac:dyDescent="0.3">
      <c r="U527" s="1" t="s">
        <v>825</v>
      </c>
      <c r="V527" s="1"/>
    </row>
    <row r="528" spans="21:22" x14ac:dyDescent="0.3">
      <c r="U528" s="1" t="s">
        <v>826</v>
      </c>
      <c r="V528" s="1"/>
    </row>
    <row r="529" spans="21:22" x14ac:dyDescent="0.3">
      <c r="U529" s="1" t="s">
        <v>827</v>
      </c>
      <c r="V529" s="1"/>
    </row>
    <row r="530" spans="21:22" x14ac:dyDescent="0.3">
      <c r="U530" s="1" t="s">
        <v>828</v>
      </c>
      <c r="V530" s="1"/>
    </row>
    <row r="531" spans="21:22" x14ac:dyDescent="0.3">
      <c r="U531" s="1" t="s">
        <v>829</v>
      </c>
      <c r="V531" s="1"/>
    </row>
    <row r="532" spans="21:22" x14ac:dyDescent="0.3">
      <c r="U532" s="1" t="s">
        <v>830</v>
      </c>
      <c r="V532" s="1"/>
    </row>
    <row r="533" spans="21:22" x14ac:dyDescent="0.3">
      <c r="U533" s="1" t="s">
        <v>831</v>
      </c>
      <c r="V533" s="1"/>
    </row>
    <row r="534" spans="21:22" x14ac:dyDescent="0.3">
      <c r="U534" s="1" t="s">
        <v>832</v>
      </c>
      <c r="V534" s="1"/>
    </row>
    <row r="535" spans="21:22" x14ac:dyDescent="0.3">
      <c r="U535" s="1" t="s">
        <v>833</v>
      </c>
      <c r="V535" s="1"/>
    </row>
    <row r="536" spans="21:22" x14ac:dyDescent="0.3">
      <c r="U536" s="1" t="s">
        <v>834</v>
      </c>
      <c r="V536" s="1"/>
    </row>
    <row r="537" spans="21:22" x14ac:dyDescent="0.3">
      <c r="U537" s="1" t="s">
        <v>835</v>
      </c>
      <c r="V537" s="1"/>
    </row>
    <row r="538" spans="21:22" x14ac:dyDescent="0.3">
      <c r="U538" s="1" t="s">
        <v>836</v>
      </c>
      <c r="V538" s="1"/>
    </row>
    <row r="539" spans="21:22" x14ac:dyDescent="0.3">
      <c r="U539" s="1" t="s">
        <v>837</v>
      </c>
      <c r="V539" s="1"/>
    </row>
    <row r="540" spans="21:22" x14ac:dyDescent="0.3">
      <c r="U540" s="1" t="s">
        <v>838</v>
      </c>
      <c r="V540" s="1"/>
    </row>
    <row r="541" spans="21:22" x14ac:dyDescent="0.3">
      <c r="U541" s="1" t="s">
        <v>839</v>
      </c>
      <c r="V541" s="1"/>
    </row>
    <row r="542" spans="21:22" x14ac:dyDescent="0.3">
      <c r="U542" s="1" t="s">
        <v>840</v>
      </c>
      <c r="V542" s="1"/>
    </row>
    <row r="543" spans="21:22" x14ac:dyDescent="0.3">
      <c r="U543" s="1" t="s">
        <v>841</v>
      </c>
      <c r="V543" s="1"/>
    </row>
    <row r="544" spans="21:22" x14ac:dyDescent="0.3">
      <c r="U544" s="1" t="s">
        <v>842</v>
      </c>
      <c r="V544" s="1"/>
    </row>
    <row r="545" spans="21:22" x14ac:dyDescent="0.3">
      <c r="U545" s="1" t="s">
        <v>843</v>
      </c>
      <c r="V545" s="1"/>
    </row>
    <row r="546" spans="21:22" x14ac:dyDescent="0.3">
      <c r="U546" s="1" t="s">
        <v>844</v>
      </c>
      <c r="V546" s="1"/>
    </row>
    <row r="547" spans="21:22" x14ac:dyDescent="0.3">
      <c r="U547" s="1" t="s">
        <v>845</v>
      </c>
      <c r="V547" s="1"/>
    </row>
    <row r="548" spans="21:22" x14ac:dyDescent="0.3">
      <c r="U548" s="1" t="s">
        <v>846</v>
      </c>
      <c r="V548" s="1"/>
    </row>
    <row r="549" spans="21:22" x14ac:dyDescent="0.3">
      <c r="U549" s="1" t="s">
        <v>847</v>
      </c>
      <c r="V549" s="1"/>
    </row>
    <row r="550" spans="21:22" x14ac:dyDescent="0.3">
      <c r="U550" s="1" t="s">
        <v>848</v>
      </c>
      <c r="V550" s="1"/>
    </row>
    <row r="551" spans="21:22" x14ac:dyDescent="0.3">
      <c r="U551" s="1" t="s">
        <v>849</v>
      </c>
      <c r="V551" s="1"/>
    </row>
    <row r="552" spans="21:22" x14ac:dyDescent="0.3">
      <c r="U552" s="1" t="s">
        <v>850</v>
      </c>
      <c r="V552" s="1"/>
    </row>
    <row r="553" spans="21:22" x14ac:dyDescent="0.3">
      <c r="U553" s="1" t="s">
        <v>851</v>
      </c>
      <c r="V553" s="1"/>
    </row>
    <row r="554" spans="21:22" x14ac:dyDescent="0.3">
      <c r="U554" s="1" t="s">
        <v>852</v>
      </c>
      <c r="V554" s="1"/>
    </row>
    <row r="555" spans="21:22" x14ac:dyDescent="0.3">
      <c r="U555" s="1" t="s">
        <v>853</v>
      </c>
      <c r="V555" s="1"/>
    </row>
    <row r="556" spans="21:22" x14ac:dyDescent="0.3">
      <c r="U556" s="1" t="s">
        <v>854</v>
      </c>
      <c r="V556" s="1"/>
    </row>
    <row r="557" spans="21:22" x14ac:dyDescent="0.3">
      <c r="U557" s="1" t="s">
        <v>855</v>
      </c>
      <c r="V557" s="1"/>
    </row>
    <row r="558" spans="21:22" x14ac:dyDescent="0.3">
      <c r="U558" s="1" t="s">
        <v>856</v>
      </c>
      <c r="V558" s="1"/>
    </row>
    <row r="559" spans="21:22" x14ac:dyDescent="0.3">
      <c r="U559" s="1" t="s">
        <v>857</v>
      </c>
      <c r="V559" s="1"/>
    </row>
    <row r="560" spans="21:22" x14ac:dyDescent="0.3">
      <c r="U560" s="1" t="s">
        <v>858</v>
      </c>
      <c r="V560" s="1"/>
    </row>
    <row r="561" spans="21:22" x14ac:dyDescent="0.3">
      <c r="U561" s="1" t="s">
        <v>859</v>
      </c>
      <c r="V561" s="1"/>
    </row>
    <row r="562" spans="21:22" x14ac:dyDescent="0.3">
      <c r="U562" s="1" t="s">
        <v>860</v>
      </c>
      <c r="V562" s="1"/>
    </row>
    <row r="563" spans="21:22" x14ac:dyDescent="0.3">
      <c r="U563" s="1" t="s">
        <v>861</v>
      </c>
      <c r="V563" s="1"/>
    </row>
    <row r="564" spans="21:22" x14ac:dyDescent="0.3">
      <c r="U564" s="1" t="s">
        <v>862</v>
      </c>
      <c r="V564" s="1"/>
    </row>
    <row r="565" spans="21:22" x14ac:dyDescent="0.3">
      <c r="U565" s="1" t="s">
        <v>863</v>
      </c>
      <c r="V565" s="1"/>
    </row>
    <row r="566" spans="21:22" x14ac:dyDescent="0.3">
      <c r="U566" s="1" t="s">
        <v>864</v>
      </c>
      <c r="V566" s="1"/>
    </row>
    <row r="567" spans="21:22" x14ac:dyDescent="0.3">
      <c r="U567" s="1" t="s">
        <v>865</v>
      </c>
      <c r="V567" s="1"/>
    </row>
    <row r="568" spans="21:22" x14ac:dyDescent="0.3">
      <c r="U568" s="1" t="s">
        <v>866</v>
      </c>
      <c r="V568" s="1"/>
    </row>
    <row r="569" spans="21:22" x14ac:dyDescent="0.3">
      <c r="U569" s="1" t="s">
        <v>867</v>
      </c>
      <c r="V569" s="1"/>
    </row>
    <row r="570" spans="21:22" x14ac:dyDescent="0.3">
      <c r="U570" s="1" t="s">
        <v>868</v>
      </c>
      <c r="V570" s="1"/>
    </row>
    <row r="571" spans="21:22" x14ac:dyDescent="0.3">
      <c r="U571" s="1" t="s">
        <v>869</v>
      </c>
      <c r="V571" s="1"/>
    </row>
    <row r="572" spans="21:22" x14ac:dyDescent="0.3">
      <c r="U572" s="1" t="s">
        <v>870</v>
      </c>
      <c r="V572" s="1"/>
    </row>
    <row r="573" spans="21:22" x14ac:dyDescent="0.3">
      <c r="U573" s="1" t="s">
        <v>871</v>
      </c>
      <c r="V573" s="1"/>
    </row>
    <row r="574" spans="21:22" x14ac:dyDescent="0.3">
      <c r="U574" s="1" t="s">
        <v>872</v>
      </c>
      <c r="V574" s="1"/>
    </row>
    <row r="575" spans="21:22" x14ac:dyDescent="0.3">
      <c r="U575" s="1" t="s">
        <v>873</v>
      </c>
      <c r="V575" s="1"/>
    </row>
    <row r="576" spans="21:22" x14ac:dyDescent="0.3">
      <c r="U576" s="1" t="s">
        <v>874</v>
      </c>
      <c r="V576" s="1"/>
    </row>
    <row r="577" spans="21:22" x14ac:dyDescent="0.3">
      <c r="U577" s="1" t="s">
        <v>875</v>
      </c>
      <c r="V577" s="1"/>
    </row>
    <row r="578" spans="21:22" x14ac:dyDescent="0.3">
      <c r="U578" s="1" t="s">
        <v>876</v>
      </c>
      <c r="V578" s="1"/>
    </row>
    <row r="579" spans="21:22" x14ac:dyDescent="0.3">
      <c r="U579" s="1" t="s">
        <v>877</v>
      </c>
      <c r="V579" s="1"/>
    </row>
    <row r="580" spans="21:22" x14ac:dyDescent="0.3">
      <c r="U580" s="1" t="s">
        <v>878</v>
      </c>
      <c r="V580" s="1"/>
    </row>
    <row r="581" spans="21:22" x14ac:dyDescent="0.3">
      <c r="U581" s="1" t="s">
        <v>879</v>
      </c>
      <c r="V581" s="1"/>
    </row>
    <row r="582" spans="21:22" x14ac:dyDescent="0.3">
      <c r="U582" s="1" t="s">
        <v>880</v>
      </c>
      <c r="V582" s="1"/>
    </row>
    <row r="583" spans="21:22" x14ac:dyDescent="0.3">
      <c r="U583" s="1" t="s">
        <v>881</v>
      </c>
      <c r="V583" s="1"/>
    </row>
    <row r="584" spans="21:22" x14ac:dyDescent="0.3">
      <c r="U584" s="1" t="s">
        <v>882</v>
      </c>
      <c r="V584" s="1"/>
    </row>
    <row r="585" spans="21:22" x14ac:dyDescent="0.3">
      <c r="U585" s="1" t="s">
        <v>883</v>
      </c>
      <c r="V585" s="1"/>
    </row>
    <row r="586" spans="21:22" x14ac:dyDescent="0.3">
      <c r="U586" s="1" t="s">
        <v>884</v>
      </c>
      <c r="V586" s="1"/>
    </row>
    <row r="587" spans="21:22" x14ac:dyDescent="0.3">
      <c r="U587" s="1" t="s">
        <v>885</v>
      </c>
      <c r="V587" s="1"/>
    </row>
    <row r="588" spans="21:22" x14ac:dyDescent="0.3">
      <c r="U588" s="1" t="s">
        <v>886</v>
      </c>
      <c r="V588" s="1"/>
    </row>
    <row r="589" spans="21:22" x14ac:dyDescent="0.3">
      <c r="U589" s="1" t="s">
        <v>887</v>
      </c>
      <c r="V589" s="1"/>
    </row>
    <row r="590" spans="21:22" x14ac:dyDescent="0.3">
      <c r="U590" s="1" t="s">
        <v>888</v>
      </c>
      <c r="V590" s="1"/>
    </row>
    <row r="591" spans="21:22" x14ac:dyDescent="0.3">
      <c r="U591" s="1" t="s">
        <v>889</v>
      </c>
      <c r="V591" s="1"/>
    </row>
    <row r="592" spans="21:22" x14ac:dyDescent="0.3">
      <c r="U592" s="1" t="s">
        <v>890</v>
      </c>
      <c r="V592" s="1"/>
    </row>
    <row r="593" spans="21:22" x14ac:dyDescent="0.3">
      <c r="U593" s="1" t="s">
        <v>891</v>
      </c>
      <c r="V593" s="1"/>
    </row>
    <row r="594" spans="21:22" x14ac:dyDescent="0.3">
      <c r="U594" s="1" t="s">
        <v>892</v>
      </c>
      <c r="V594" s="1"/>
    </row>
    <row r="595" spans="21:22" x14ac:dyDescent="0.3">
      <c r="U595" s="1" t="s">
        <v>893</v>
      </c>
      <c r="V595" s="1"/>
    </row>
    <row r="596" spans="21:22" x14ac:dyDescent="0.3">
      <c r="U596" s="1" t="s">
        <v>894</v>
      </c>
      <c r="V596" s="1"/>
    </row>
    <row r="597" spans="21:22" x14ac:dyDescent="0.3">
      <c r="U597" s="1" t="s">
        <v>895</v>
      </c>
      <c r="V597" s="1"/>
    </row>
    <row r="598" spans="21:22" x14ac:dyDescent="0.3">
      <c r="U598" s="1" t="s">
        <v>896</v>
      </c>
      <c r="V598" s="1"/>
    </row>
    <row r="599" spans="21:22" x14ac:dyDescent="0.3">
      <c r="U599" s="1" t="s">
        <v>897</v>
      </c>
      <c r="V599" s="1"/>
    </row>
    <row r="600" spans="21:22" x14ac:dyDescent="0.3">
      <c r="U600" s="1" t="s">
        <v>898</v>
      </c>
      <c r="V600" s="1"/>
    </row>
    <row r="601" spans="21:22" x14ac:dyDescent="0.3">
      <c r="U601" s="1" t="s">
        <v>899</v>
      </c>
      <c r="V601" s="1"/>
    </row>
    <row r="602" spans="21:22" x14ac:dyDescent="0.3">
      <c r="U602" s="1" t="s">
        <v>900</v>
      </c>
      <c r="V602" s="1"/>
    </row>
    <row r="603" spans="21:22" x14ac:dyDescent="0.3">
      <c r="U603" s="1" t="s">
        <v>901</v>
      </c>
      <c r="V603" s="1"/>
    </row>
    <row r="604" spans="21:22" x14ac:dyDescent="0.3">
      <c r="U604" s="1" t="s">
        <v>902</v>
      </c>
      <c r="V604" s="1"/>
    </row>
    <row r="605" spans="21:22" x14ac:dyDescent="0.3">
      <c r="U605" s="1" t="s">
        <v>903</v>
      </c>
      <c r="V605" s="1"/>
    </row>
    <row r="606" spans="21:22" x14ac:dyDescent="0.3">
      <c r="U606" s="1" t="s">
        <v>904</v>
      </c>
      <c r="V606" s="1"/>
    </row>
    <row r="607" spans="21:22" x14ac:dyDescent="0.3">
      <c r="U607" s="1" t="s">
        <v>905</v>
      </c>
      <c r="V607" s="1"/>
    </row>
    <row r="608" spans="21:22" x14ac:dyDescent="0.3">
      <c r="U608" s="1" t="s">
        <v>906</v>
      </c>
      <c r="V608" s="1"/>
    </row>
    <row r="609" spans="21:22" x14ac:dyDescent="0.3">
      <c r="U609" s="1" t="s">
        <v>907</v>
      </c>
      <c r="V609" s="1"/>
    </row>
    <row r="610" spans="21:22" x14ac:dyDescent="0.3">
      <c r="U610" s="1" t="s">
        <v>908</v>
      </c>
      <c r="V610" s="1"/>
    </row>
    <row r="611" spans="21:22" x14ac:dyDescent="0.3">
      <c r="U611" s="1" t="s">
        <v>909</v>
      </c>
      <c r="V611" s="1"/>
    </row>
    <row r="612" spans="21:22" x14ac:dyDescent="0.3">
      <c r="U612" s="1" t="s">
        <v>910</v>
      </c>
      <c r="V612" s="1"/>
    </row>
    <row r="613" spans="21:22" x14ac:dyDescent="0.3">
      <c r="U613" s="1" t="s">
        <v>911</v>
      </c>
      <c r="V613" s="1"/>
    </row>
    <row r="614" spans="21:22" x14ac:dyDescent="0.3">
      <c r="U614" s="1" t="s">
        <v>912</v>
      </c>
      <c r="V614" s="1"/>
    </row>
    <row r="615" spans="21:22" x14ac:dyDescent="0.3">
      <c r="U615" s="1" t="s">
        <v>913</v>
      </c>
      <c r="V615" s="1"/>
    </row>
    <row r="616" spans="21:22" x14ac:dyDescent="0.3">
      <c r="U616" s="1" t="s">
        <v>914</v>
      </c>
      <c r="V616" s="1"/>
    </row>
    <row r="617" spans="21:22" x14ac:dyDescent="0.3">
      <c r="U617" s="1" t="s">
        <v>915</v>
      </c>
      <c r="V617" s="1"/>
    </row>
    <row r="618" spans="21:22" x14ac:dyDescent="0.3">
      <c r="U618" s="1" t="s">
        <v>916</v>
      </c>
      <c r="V618" s="1"/>
    </row>
    <row r="619" spans="21:22" x14ac:dyDescent="0.3">
      <c r="U619" s="1" t="s">
        <v>917</v>
      </c>
      <c r="V619" s="1"/>
    </row>
    <row r="620" spans="21:22" x14ac:dyDescent="0.3">
      <c r="U620" s="1" t="s">
        <v>918</v>
      </c>
      <c r="V620" s="1"/>
    </row>
    <row r="621" spans="21:22" x14ac:dyDescent="0.3">
      <c r="U621" s="1" t="s">
        <v>919</v>
      </c>
      <c r="V621" s="1"/>
    </row>
    <row r="622" spans="21:22" x14ac:dyDescent="0.3">
      <c r="U622" s="1" t="s">
        <v>920</v>
      </c>
      <c r="V622" s="1"/>
    </row>
    <row r="623" spans="21:22" x14ac:dyDescent="0.3">
      <c r="U623" s="1" t="s">
        <v>921</v>
      </c>
      <c r="V623" s="1"/>
    </row>
    <row r="624" spans="21:22" x14ac:dyDescent="0.3">
      <c r="U624" s="1" t="s">
        <v>922</v>
      </c>
      <c r="V624" s="1"/>
    </row>
    <row r="625" spans="21:22" x14ac:dyDescent="0.3">
      <c r="U625" s="1" t="s">
        <v>923</v>
      </c>
      <c r="V625" s="1"/>
    </row>
    <row r="626" spans="21:22" x14ac:dyDescent="0.3">
      <c r="U626" s="1" t="s">
        <v>924</v>
      </c>
      <c r="V626" s="1"/>
    </row>
    <row r="627" spans="21:22" x14ac:dyDescent="0.3">
      <c r="U627" s="1" t="s">
        <v>925</v>
      </c>
      <c r="V627" s="1"/>
    </row>
    <row r="628" spans="21:22" x14ac:dyDescent="0.3">
      <c r="U628" s="1" t="s">
        <v>926</v>
      </c>
      <c r="V628" s="1"/>
    </row>
    <row r="629" spans="21:22" x14ac:dyDescent="0.3">
      <c r="U629" s="1" t="s">
        <v>927</v>
      </c>
      <c r="V629" s="1"/>
    </row>
    <row r="630" spans="21:22" x14ac:dyDescent="0.3">
      <c r="U630" s="1" t="s">
        <v>928</v>
      </c>
      <c r="V630" s="1"/>
    </row>
    <row r="631" spans="21:22" x14ac:dyDescent="0.3">
      <c r="U631" s="1" t="s">
        <v>929</v>
      </c>
      <c r="V631" s="1"/>
    </row>
    <row r="632" spans="21:22" x14ac:dyDescent="0.3">
      <c r="U632" s="1" t="s">
        <v>930</v>
      </c>
      <c r="V632" s="1"/>
    </row>
    <row r="633" spans="21:22" x14ac:dyDescent="0.3">
      <c r="U633" s="1" t="s">
        <v>931</v>
      </c>
      <c r="V633" s="1"/>
    </row>
    <row r="634" spans="21:22" x14ac:dyDescent="0.3">
      <c r="U634" s="1" t="s">
        <v>932</v>
      </c>
      <c r="V634" s="1"/>
    </row>
    <row r="635" spans="21:22" x14ac:dyDescent="0.3">
      <c r="U635" s="1" t="s">
        <v>933</v>
      </c>
      <c r="V635" s="1"/>
    </row>
    <row r="636" spans="21:22" x14ac:dyDescent="0.3">
      <c r="U636" s="1" t="s">
        <v>934</v>
      </c>
      <c r="V636" s="1"/>
    </row>
    <row r="637" spans="21:22" x14ac:dyDescent="0.3">
      <c r="U637" s="1" t="s">
        <v>935</v>
      </c>
      <c r="V637" s="1"/>
    </row>
    <row r="638" spans="21:22" x14ac:dyDescent="0.3">
      <c r="U638" s="1" t="s">
        <v>936</v>
      </c>
      <c r="V638" s="1"/>
    </row>
    <row r="639" spans="21:22" x14ac:dyDescent="0.3">
      <c r="U639" s="1" t="s">
        <v>937</v>
      </c>
      <c r="V639" s="1"/>
    </row>
    <row r="640" spans="21:22" x14ac:dyDescent="0.3">
      <c r="U640" s="1" t="s">
        <v>938</v>
      </c>
      <c r="V640" s="1"/>
    </row>
    <row r="641" spans="21:22" x14ac:dyDescent="0.3">
      <c r="U641" s="1" t="s">
        <v>939</v>
      </c>
      <c r="V641" s="1"/>
    </row>
    <row r="642" spans="21:22" x14ac:dyDescent="0.3">
      <c r="U642" s="1" t="s">
        <v>940</v>
      </c>
      <c r="V642" s="1"/>
    </row>
    <row r="643" spans="21:22" x14ac:dyDescent="0.3">
      <c r="U643" s="1" t="s">
        <v>941</v>
      </c>
      <c r="V643" s="1"/>
    </row>
    <row r="644" spans="21:22" x14ac:dyDescent="0.3">
      <c r="U644" s="1" t="s">
        <v>942</v>
      </c>
      <c r="V644" s="1"/>
    </row>
    <row r="645" spans="21:22" x14ac:dyDescent="0.3">
      <c r="U645" s="1" t="s">
        <v>943</v>
      </c>
      <c r="V645" s="1"/>
    </row>
    <row r="646" spans="21:22" x14ac:dyDescent="0.3">
      <c r="U646" s="1" t="s">
        <v>944</v>
      </c>
      <c r="V646" s="1"/>
    </row>
    <row r="647" spans="21:22" x14ac:dyDescent="0.3">
      <c r="U647" s="1" t="s">
        <v>945</v>
      </c>
      <c r="V647" s="1"/>
    </row>
    <row r="648" spans="21:22" x14ac:dyDescent="0.3">
      <c r="U648" s="1" t="s">
        <v>946</v>
      </c>
      <c r="V648" s="1"/>
    </row>
    <row r="649" spans="21:22" x14ac:dyDescent="0.3">
      <c r="U649" s="1" t="s">
        <v>947</v>
      </c>
      <c r="V649" s="1"/>
    </row>
    <row r="650" spans="21:22" x14ac:dyDescent="0.3">
      <c r="U650" s="1" t="s">
        <v>948</v>
      </c>
      <c r="V650" s="1"/>
    </row>
    <row r="651" spans="21:22" x14ac:dyDescent="0.3">
      <c r="U651" s="1" t="s">
        <v>949</v>
      </c>
      <c r="V651" s="1"/>
    </row>
    <row r="652" spans="21:22" x14ac:dyDescent="0.3">
      <c r="U652" s="1" t="s">
        <v>950</v>
      </c>
      <c r="V652" s="1"/>
    </row>
    <row r="653" spans="21:22" x14ac:dyDescent="0.3">
      <c r="U653" s="1" t="s">
        <v>951</v>
      </c>
      <c r="V653" s="1"/>
    </row>
    <row r="654" spans="21:22" x14ac:dyDescent="0.3">
      <c r="U654" s="1" t="s">
        <v>952</v>
      </c>
      <c r="V654" s="1"/>
    </row>
    <row r="655" spans="21:22" x14ac:dyDescent="0.3">
      <c r="U655" s="1" t="s">
        <v>953</v>
      </c>
      <c r="V655" s="1"/>
    </row>
    <row r="656" spans="21:22" x14ac:dyDescent="0.3">
      <c r="U656" s="1" t="s">
        <v>954</v>
      </c>
      <c r="V656" s="1"/>
    </row>
    <row r="657" spans="21:22" x14ac:dyDescent="0.3">
      <c r="U657" s="1" t="s">
        <v>955</v>
      </c>
      <c r="V657" s="1"/>
    </row>
    <row r="658" spans="21:22" x14ac:dyDescent="0.3">
      <c r="U658" s="1" t="s">
        <v>956</v>
      </c>
      <c r="V658" s="1"/>
    </row>
    <row r="659" spans="21:22" x14ac:dyDescent="0.3">
      <c r="U659" s="1" t="s">
        <v>957</v>
      </c>
      <c r="V659" s="1"/>
    </row>
    <row r="660" spans="21:22" x14ac:dyDescent="0.3">
      <c r="U660" s="1" t="s">
        <v>958</v>
      </c>
      <c r="V660" s="1"/>
    </row>
    <row r="661" spans="21:22" x14ac:dyDescent="0.3">
      <c r="U661" s="1" t="s">
        <v>959</v>
      </c>
      <c r="V661" s="1"/>
    </row>
    <row r="662" spans="21:22" x14ac:dyDescent="0.3">
      <c r="U662" s="1" t="s">
        <v>960</v>
      </c>
      <c r="V662" s="1"/>
    </row>
    <row r="663" spans="21:22" x14ac:dyDescent="0.3">
      <c r="U663" s="1" t="s">
        <v>961</v>
      </c>
      <c r="V663" s="1"/>
    </row>
    <row r="664" spans="21:22" x14ac:dyDescent="0.3">
      <c r="U664" s="1" t="s">
        <v>962</v>
      </c>
      <c r="V664" s="1"/>
    </row>
    <row r="665" spans="21:22" x14ac:dyDescent="0.3">
      <c r="U665" s="1" t="s">
        <v>963</v>
      </c>
      <c r="V665" s="1"/>
    </row>
    <row r="666" spans="21:22" x14ac:dyDescent="0.3">
      <c r="U666" s="1" t="s">
        <v>964</v>
      </c>
      <c r="V666" s="1"/>
    </row>
    <row r="667" spans="21:22" x14ac:dyDescent="0.3">
      <c r="U667" s="1" t="s">
        <v>965</v>
      </c>
      <c r="V667" s="1"/>
    </row>
    <row r="668" spans="21:22" x14ac:dyDescent="0.3">
      <c r="U668" s="1" t="s">
        <v>966</v>
      </c>
      <c r="V668" s="1"/>
    </row>
    <row r="669" spans="21:22" x14ac:dyDescent="0.3">
      <c r="U669" s="1" t="s">
        <v>967</v>
      </c>
      <c r="V669" s="1"/>
    </row>
    <row r="670" spans="21:22" x14ac:dyDescent="0.3">
      <c r="U670" s="1" t="s">
        <v>968</v>
      </c>
      <c r="V670" s="1"/>
    </row>
    <row r="671" spans="21:22" x14ac:dyDescent="0.3">
      <c r="U671" s="1" t="s">
        <v>969</v>
      </c>
      <c r="V671" s="1"/>
    </row>
    <row r="672" spans="21:22" x14ac:dyDescent="0.3">
      <c r="U672" s="1" t="s">
        <v>970</v>
      </c>
      <c r="V672" s="1"/>
    </row>
    <row r="673" spans="21:22" x14ac:dyDescent="0.3">
      <c r="U673" s="1" t="s">
        <v>971</v>
      </c>
      <c r="V673" s="1"/>
    </row>
    <row r="674" spans="21:22" x14ac:dyDescent="0.3">
      <c r="U674" s="1" t="s">
        <v>972</v>
      </c>
      <c r="V674" s="1"/>
    </row>
    <row r="675" spans="21:22" x14ac:dyDescent="0.3">
      <c r="U675" s="1" t="s">
        <v>973</v>
      </c>
      <c r="V675" s="1"/>
    </row>
    <row r="676" spans="21:22" x14ac:dyDescent="0.3">
      <c r="U676" s="1" t="s">
        <v>974</v>
      </c>
      <c r="V676" s="1"/>
    </row>
    <row r="677" spans="21:22" x14ac:dyDescent="0.3">
      <c r="U677" s="1" t="s">
        <v>975</v>
      </c>
      <c r="V677" s="1"/>
    </row>
    <row r="678" spans="21:22" x14ac:dyDescent="0.3">
      <c r="U678" s="1" t="s">
        <v>976</v>
      </c>
      <c r="V678" s="1"/>
    </row>
    <row r="679" spans="21:22" x14ac:dyDescent="0.3">
      <c r="U679" s="1" t="s">
        <v>977</v>
      </c>
      <c r="V679" s="1"/>
    </row>
    <row r="680" spans="21:22" x14ac:dyDescent="0.3">
      <c r="U680" s="1" t="s">
        <v>978</v>
      </c>
      <c r="V680" s="1"/>
    </row>
    <row r="681" spans="21:22" x14ac:dyDescent="0.3">
      <c r="U681" s="1" t="s">
        <v>979</v>
      </c>
      <c r="V681" s="1"/>
    </row>
    <row r="682" spans="21:22" x14ac:dyDescent="0.3">
      <c r="U682" s="1" t="s">
        <v>980</v>
      </c>
      <c r="V682" s="1"/>
    </row>
    <row r="683" spans="21:22" x14ac:dyDescent="0.3">
      <c r="U683" s="1" t="s">
        <v>981</v>
      </c>
      <c r="V683" s="1"/>
    </row>
    <row r="684" spans="21:22" x14ac:dyDescent="0.3">
      <c r="U684" s="1" t="s">
        <v>982</v>
      </c>
      <c r="V684" s="1"/>
    </row>
    <row r="685" spans="21:22" x14ac:dyDescent="0.3">
      <c r="U685" s="1" t="s">
        <v>983</v>
      </c>
      <c r="V685" s="1"/>
    </row>
    <row r="686" spans="21:22" x14ac:dyDescent="0.3">
      <c r="U686" s="1" t="s">
        <v>984</v>
      </c>
      <c r="V686" s="1"/>
    </row>
    <row r="687" spans="21:22" x14ac:dyDescent="0.3">
      <c r="U687" s="1" t="s">
        <v>985</v>
      </c>
      <c r="V687" s="1"/>
    </row>
    <row r="688" spans="21:22" x14ac:dyDescent="0.3">
      <c r="U688" s="1" t="s">
        <v>986</v>
      </c>
      <c r="V688" s="1"/>
    </row>
    <row r="689" spans="21:22" x14ac:dyDescent="0.3">
      <c r="U689" s="1" t="s">
        <v>987</v>
      </c>
      <c r="V689" s="1"/>
    </row>
    <row r="690" spans="21:22" x14ac:dyDescent="0.3">
      <c r="U690" s="1" t="s">
        <v>988</v>
      </c>
      <c r="V690" s="1"/>
    </row>
    <row r="691" spans="21:22" x14ac:dyDescent="0.3">
      <c r="U691" s="1" t="s">
        <v>989</v>
      </c>
      <c r="V691" s="1"/>
    </row>
    <row r="692" spans="21:22" x14ac:dyDescent="0.3">
      <c r="U692" s="1" t="s">
        <v>990</v>
      </c>
      <c r="V692" s="1"/>
    </row>
    <row r="693" spans="21:22" x14ac:dyDescent="0.3">
      <c r="U693" s="1" t="s">
        <v>991</v>
      </c>
      <c r="V693" s="1"/>
    </row>
    <row r="694" spans="21:22" x14ac:dyDescent="0.3">
      <c r="U694" s="1" t="s">
        <v>992</v>
      </c>
      <c r="V694" s="1"/>
    </row>
    <row r="695" spans="21:22" x14ac:dyDescent="0.3">
      <c r="U695" s="1" t="s">
        <v>993</v>
      </c>
      <c r="V695" s="1"/>
    </row>
    <row r="696" spans="21:22" x14ac:dyDescent="0.3">
      <c r="U696" s="1" t="s">
        <v>994</v>
      </c>
      <c r="V696" s="1"/>
    </row>
    <row r="697" spans="21:22" x14ac:dyDescent="0.3">
      <c r="U697" s="1" t="s">
        <v>995</v>
      </c>
      <c r="V697" s="1"/>
    </row>
    <row r="698" spans="21:22" x14ac:dyDescent="0.3">
      <c r="U698" s="1" t="s">
        <v>996</v>
      </c>
      <c r="V698" s="1"/>
    </row>
    <row r="699" spans="21:22" x14ac:dyDescent="0.3">
      <c r="U699" s="1" t="s">
        <v>997</v>
      </c>
      <c r="V699" s="1"/>
    </row>
    <row r="700" spans="21:22" x14ac:dyDescent="0.3">
      <c r="U700" s="1" t="s">
        <v>998</v>
      </c>
      <c r="V700" s="1"/>
    </row>
    <row r="701" spans="21:22" x14ac:dyDescent="0.3">
      <c r="U701" s="1" t="s">
        <v>999</v>
      </c>
      <c r="V701" s="1"/>
    </row>
    <row r="702" spans="21:22" x14ac:dyDescent="0.3">
      <c r="U702" s="1" t="s">
        <v>1000</v>
      </c>
      <c r="V702" s="1"/>
    </row>
    <row r="703" spans="21:22" x14ac:dyDescent="0.3">
      <c r="U703" s="1" t="s">
        <v>1001</v>
      </c>
      <c r="V703" s="1"/>
    </row>
    <row r="704" spans="21:22" x14ac:dyDescent="0.3">
      <c r="U704" s="1" t="s">
        <v>1002</v>
      </c>
      <c r="V704" s="1"/>
    </row>
    <row r="705" spans="21:22" x14ac:dyDescent="0.3">
      <c r="U705" s="1" t="s">
        <v>1003</v>
      </c>
      <c r="V705" s="1"/>
    </row>
    <row r="706" spans="21:22" x14ac:dyDescent="0.3">
      <c r="U706" s="1" t="s">
        <v>1004</v>
      </c>
      <c r="V706" s="1"/>
    </row>
    <row r="707" spans="21:22" x14ac:dyDescent="0.3">
      <c r="U707" s="1" t="s">
        <v>1005</v>
      </c>
      <c r="V707" s="1"/>
    </row>
    <row r="708" spans="21:22" x14ac:dyDescent="0.3">
      <c r="U708" s="1" t="s">
        <v>1006</v>
      </c>
      <c r="V708" s="1"/>
    </row>
    <row r="709" spans="21:22" x14ac:dyDescent="0.3">
      <c r="U709" s="1" t="s">
        <v>1007</v>
      </c>
      <c r="V709" s="1"/>
    </row>
    <row r="710" spans="21:22" x14ac:dyDescent="0.3">
      <c r="U710" s="1" t="s">
        <v>1008</v>
      </c>
      <c r="V710" s="1"/>
    </row>
    <row r="711" spans="21:22" x14ac:dyDescent="0.3">
      <c r="U711" s="1" t="s">
        <v>1009</v>
      </c>
      <c r="V711" s="1"/>
    </row>
    <row r="712" spans="21:22" x14ac:dyDescent="0.3">
      <c r="U712" s="1" t="s">
        <v>1010</v>
      </c>
      <c r="V712" s="1"/>
    </row>
    <row r="713" spans="21:22" x14ac:dyDescent="0.3">
      <c r="U713" s="1" t="s">
        <v>1011</v>
      </c>
      <c r="V713" s="1"/>
    </row>
    <row r="714" spans="21:22" x14ac:dyDescent="0.3">
      <c r="U714" s="1" t="s">
        <v>1012</v>
      </c>
      <c r="V714" s="1"/>
    </row>
    <row r="715" spans="21:22" x14ac:dyDescent="0.3">
      <c r="U715" s="1" t="s">
        <v>1013</v>
      </c>
      <c r="V715" s="1"/>
    </row>
    <row r="716" spans="21:22" x14ac:dyDescent="0.3">
      <c r="U716" s="1" t="s">
        <v>1014</v>
      </c>
      <c r="V716" s="1"/>
    </row>
    <row r="717" spans="21:22" x14ac:dyDescent="0.3">
      <c r="U717" s="1" t="s">
        <v>1015</v>
      </c>
      <c r="V717" s="1"/>
    </row>
    <row r="718" spans="21:22" x14ac:dyDescent="0.3">
      <c r="U718" s="1" t="s">
        <v>1016</v>
      </c>
      <c r="V718" s="1"/>
    </row>
    <row r="719" spans="21:22" x14ac:dyDescent="0.3">
      <c r="U719" s="1" t="s">
        <v>1017</v>
      </c>
      <c r="V719" s="1"/>
    </row>
    <row r="720" spans="21:22" x14ac:dyDescent="0.3">
      <c r="U720" s="1" t="s">
        <v>1018</v>
      </c>
      <c r="V720" s="1"/>
    </row>
    <row r="721" spans="21:22" x14ac:dyDescent="0.3">
      <c r="U721" s="1" t="s">
        <v>1019</v>
      </c>
      <c r="V721" s="1"/>
    </row>
    <row r="722" spans="21:22" x14ac:dyDescent="0.3">
      <c r="U722" s="1" t="s">
        <v>1020</v>
      </c>
      <c r="V722" s="1"/>
    </row>
    <row r="723" spans="21:22" x14ac:dyDescent="0.3">
      <c r="U723" s="1" t="s">
        <v>1021</v>
      </c>
      <c r="V723" s="1"/>
    </row>
    <row r="724" spans="21:22" x14ac:dyDescent="0.3">
      <c r="U724" s="1" t="s">
        <v>1022</v>
      </c>
      <c r="V724" s="1"/>
    </row>
    <row r="725" spans="21:22" x14ac:dyDescent="0.3">
      <c r="U725" s="1" t="s">
        <v>1023</v>
      </c>
      <c r="V725" s="1"/>
    </row>
    <row r="726" spans="21:22" x14ac:dyDescent="0.3">
      <c r="U726" s="1" t="s">
        <v>1024</v>
      </c>
      <c r="V726" s="1"/>
    </row>
    <row r="727" spans="21:22" x14ac:dyDescent="0.3">
      <c r="U727" s="1" t="s">
        <v>1025</v>
      </c>
      <c r="V727" s="1"/>
    </row>
    <row r="728" spans="21:22" x14ac:dyDescent="0.3">
      <c r="U728" s="1" t="s">
        <v>1026</v>
      </c>
      <c r="V728" s="1"/>
    </row>
    <row r="729" spans="21:22" x14ac:dyDescent="0.3">
      <c r="U729" s="1" t="s">
        <v>1027</v>
      </c>
      <c r="V729" s="1"/>
    </row>
    <row r="730" spans="21:22" x14ac:dyDescent="0.3">
      <c r="U730" s="1" t="s">
        <v>1028</v>
      </c>
      <c r="V730" s="1"/>
    </row>
    <row r="731" spans="21:22" x14ac:dyDescent="0.3">
      <c r="U731" s="1" t="s">
        <v>1029</v>
      </c>
      <c r="V731" s="1"/>
    </row>
    <row r="732" spans="21:22" x14ac:dyDescent="0.3">
      <c r="U732" s="1" t="s">
        <v>1030</v>
      </c>
      <c r="V732" s="1"/>
    </row>
    <row r="733" spans="21:22" x14ac:dyDescent="0.3">
      <c r="U733" s="1" t="s">
        <v>1031</v>
      </c>
      <c r="V733" s="1"/>
    </row>
    <row r="734" spans="21:22" x14ac:dyDescent="0.3">
      <c r="U734" s="1" t="s">
        <v>1032</v>
      </c>
      <c r="V734" s="1"/>
    </row>
    <row r="735" spans="21:22" x14ac:dyDescent="0.3">
      <c r="U735" s="1" t="s">
        <v>1033</v>
      </c>
      <c r="V735" s="1"/>
    </row>
    <row r="736" spans="21:22" x14ac:dyDescent="0.3">
      <c r="U736" s="1" t="s">
        <v>1034</v>
      </c>
      <c r="V736" s="1"/>
    </row>
    <row r="737" spans="21:22" x14ac:dyDescent="0.3">
      <c r="U737" s="1" t="s">
        <v>1035</v>
      </c>
      <c r="V737" s="1"/>
    </row>
    <row r="738" spans="21:22" x14ac:dyDescent="0.3">
      <c r="U738" s="1" t="s">
        <v>1036</v>
      </c>
      <c r="V738" s="1"/>
    </row>
    <row r="739" spans="21:22" x14ac:dyDescent="0.3">
      <c r="U739" s="1" t="s">
        <v>1037</v>
      </c>
      <c r="V739" s="1"/>
    </row>
    <row r="740" spans="21:22" x14ac:dyDescent="0.3">
      <c r="U740" s="1" t="s">
        <v>1038</v>
      </c>
      <c r="V740" s="1"/>
    </row>
    <row r="741" spans="21:22" x14ac:dyDescent="0.3">
      <c r="U741" s="1" t="s">
        <v>1039</v>
      </c>
      <c r="V741" s="1"/>
    </row>
    <row r="742" spans="21:22" x14ac:dyDescent="0.3">
      <c r="U742" s="1" t="s">
        <v>1040</v>
      </c>
      <c r="V742" s="1"/>
    </row>
    <row r="743" spans="21:22" x14ac:dyDescent="0.3">
      <c r="U743" s="1" t="s">
        <v>1041</v>
      </c>
      <c r="V743" s="1"/>
    </row>
    <row r="744" spans="21:22" x14ac:dyDescent="0.3">
      <c r="U744" s="1" t="s">
        <v>1042</v>
      </c>
      <c r="V744" s="1"/>
    </row>
    <row r="745" spans="21:22" x14ac:dyDescent="0.3">
      <c r="U745" s="1" t="s">
        <v>1043</v>
      </c>
      <c r="V745" s="1"/>
    </row>
    <row r="746" spans="21:22" x14ac:dyDescent="0.3">
      <c r="U746" s="1" t="s">
        <v>1044</v>
      </c>
      <c r="V746" s="1"/>
    </row>
    <row r="747" spans="21:22" x14ac:dyDescent="0.3">
      <c r="U747" s="1" t="s">
        <v>1045</v>
      </c>
      <c r="V747" s="1"/>
    </row>
    <row r="748" spans="21:22" x14ac:dyDescent="0.3">
      <c r="U748" s="1" t="s">
        <v>1046</v>
      </c>
      <c r="V748" s="1"/>
    </row>
    <row r="749" spans="21:22" x14ac:dyDescent="0.3">
      <c r="U749" s="1" t="s">
        <v>1047</v>
      </c>
      <c r="V749" s="1"/>
    </row>
    <row r="750" spans="21:22" x14ac:dyDescent="0.3">
      <c r="U750" s="1" t="s">
        <v>1048</v>
      </c>
      <c r="V750" s="1"/>
    </row>
    <row r="751" spans="21:22" x14ac:dyDescent="0.3">
      <c r="U751" s="1" t="s">
        <v>1049</v>
      </c>
      <c r="V751" s="1"/>
    </row>
    <row r="752" spans="21:22" x14ac:dyDescent="0.3">
      <c r="U752" s="1" t="s">
        <v>1050</v>
      </c>
      <c r="V752" s="1"/>
    </row>
    <row r="753" spans="21:22" x14ac:dyDescent="0.3">
      <c r="U753" s="1" t="s">
        <v>1051</v>
      </c>
      <c r="V753" s="1"/>
    </row>
    <row r="754" spans="21:22" x14ac:dyDescent="0.3">
      <c r="U754" s="1" t="s">
        <v>1052</v>
      </c>
      <c r="V754" s="1"/>
    </row>
    <row r="755" spans="21:22" x14ac:dyDescent="0.3">
      <c r="U755" s="1" t="s">
        <v>1053</v>
      </c>
      <c r="V755" s="1"/>
    </row>
    <row r="756" spans="21:22" x14ac:dyDescent="0.3">
      <c r="U756" s="1" t="s">
        <v>1054</v>
      </c>
      <c r="V756" s="1"/>
    </row>
    <row r="757" spans="21:22" x14ac:dyDescent="0.3">
      <c r="U757" s="1" t="s">
        <v>1055</v>
      </c>
      <c r="V757" s="1"/>
    </row>
    <row r="758" spans="21:22" x14ac:dyDescent="0.3">
      <c r="U758" s="1" t="s">
        <v>1056</v>
      </c>
      <c r="V758" s="1"/>
    </row>
    <row r="759" spans="21:22" x14ac:dyDescent="0.3">
      <c r="U759" s="1" t="s">
        <v>1057</v>
      </c>
      <c r="V759" s="1"/>
    </row>
    <row r="760" spans="21:22" x14ac:dyDescent="0.3">
      <c r="U760" s="1" t="s">
        <v>1058</v>
      </c>
      <c r="V760" s="1"/>
    </row>
    <row r="761" spans="21:22" x14ac:dyDescent="0.3">
      <c r="U761" s="1" t="s">
        <v>1059</v>
      </c>
      <c r="V761" s="1"/>
    </row>
    <row r="762" spans="21:22" x14ac:dyDescent="0.3">
      <c r="U762" s="1" t="s">
        <v>1060</v>
      </c>
      <c r="V762" s="1"/>
    </row>
    <row r="763" spans="21:22" x14ac:dyDescent="0.3">
      <c r="U763" s="1" t="s">
        <v>1061</v>
      </c>
      <c r="V763" s="1"/>
    </row>
    <row r="764" spans="21:22" x14ac:dyDescent="0.3">
      <c r="U764" s="1" t="s">
        <v>1062</v>
      </c>
      <c r="V764" s="1"/>
    </row>
    <row r="765" spans="21:22" x14ac:dyDescent="0.3">
      <c r="U765" s="1" t="s">
        <v>1063</v>
      </c>
      <c r="V765" s="1"/>
    </row>
    <row r="766" spans="21:22" x14ac:dyDescent="0.3">
      <c r="U766" s="1" t="s">
        <v>1064</v>
      </c>
      <c r="V766" s="1"/>
    </row>
    <row r="767" spans="21:22" x14ac:dyDescent="0.3">
      <c r="U767" s="1" t="s">
        <v>1065</v>
      </c>
      <c r="V767" s="1"/>
    </row>
    <row r="768" spans="21:22" x14ac:dyDescent="0.3">
      <c r="U768" s="1" t="s">
        <v>1066</v>
      </c>
      <c r="V768" s="1"/>
    </row>
    <row r="769" spans="21:22" x14ac:dyDescent="0.3">
      <c r="U769" s="1" t="s">
        <v>1067</v>
      </c>
      <c r="V769" s="1"/>
    </row>
    <row r="770" spans="21:22" x14ac:dyDescent="0.3">
      <c r="U770" s="1" t="s">
        <v>1068</v>
      </c>
      <c r="V770" s="1"/>
    </row>
    <row r="771" spans="21:22" x14ac:dyDescent="0.3">
      <c r="U771" s="1" t="s">
        <v>1069</v>
      </c>
      <c r="V771" s="1"/>
    </row>
    <row r="772" spans="21:22" x14ac:dyDescent="0.3">
      <c r="U772" s="1" t="s">
        <v>1070</v>
      </c>
      <c r="V772" s="1"/>
    </row>
    <row r="773" spans="21:22" x14ac:dyDescent="0.3">
      <c r="U773" s="1" t="s">
        <v>1071</v>
      </c>
      <c r="V773" s="1"/>
    </row>
    <row r="774" spans="21:22" x14ac:dyDescent="0.3">
      <c r="U774" s="1" t="s">
        <v>1072</v>
      </c>
      <c r="V774" s="1"/>
    </row>
    <row r="775" spans="21:22" x14ac:dyDescent="0.3">
      <c r="U775" s="1" t="s">
        <v>1073</v>
      </c>
      <c r="V775" s="1"/>
    </row>
    <row r="776" spans="21:22" x14ac:dyDescent="0.3">
      <c r="U776" s="1" t="s">
        <v>1074</v>
      </c>
      <c r="V776" s="1"/>
    </row>
    <row r="777" spans="21:22" x14ac:dyDescent="0.3">
      <c r="U777" s="1" t="s">
        <v>1075</v>
      </c>
      <c r="V777" s="1"/>
    </row>
    <row r="778" spans="21:22" x14ac:dyDescent="0.3">
      <c r="U778" s="1" t="s">
        <v>1076</v>
      </c>
      <c r="V778" s="1"/>
    </row>
    <row r="779" spans="21:22" x14ac:dyDescent="0.3">
      <c r="U779" s="1" t="s">
        <v>1077</v>
      </c>
      <c r="V779" s="1"/>
    </row>
    <row r="780" spans="21:22" x14ac:dyDescent="0.3">
      <c r="U780" s="1" t="s">
        <v>1078</v>
      </c>
      <c r="V780" s="1"/>
    </row>
    <row r="781" spans="21:22" x14ac:dyDescent="0.3">
      <c r="U781" s="1" t="s">
        <v>1079</v>
      </c>
      <c r="V781" s="1"/>
    </row>
    <row r="782" spans="21:22" x14ac:dyDescent="0.3">
      <c r="U782" s="1" t="s">
        <v>1080</v>
      </c>
      <c r="V782" s="1"/>
    </row>
    <row r="783" spans="21:22" x14ac:dyDescent="0.3">
      <c r="U783" s="1" t="s">
        <v>1081</v>
      </c>
      <c r="V783" s="1"/>
    </row>
    <row r="784" spans="21:22" x14ac:dyDescent="0.3">
      <c r="U784" s="1" t="s">
        <v>1082</v>
      </c>
      <c r="V784" s="1"/>
    </row>
    <row r="785" spans="21:22" x14ac:dyDescent="0.3">
      <c r="U785" s="1" t="s">
        <v>1083</v>
      </c>
      <c r="V785" s="1"/>
    </row>
    <row r="786" spans="21:22" x14ac:dyDescent="0.3">
      <c r="U786" s="1" t="s">
        <v>1084</v>
      </c>
      <c r="V786" s="1"/>
    </row>
    <row r="787" spans="21:22" x14ac:dyDescent="0.3">
      <c r="U787" s="1" t="s">
        <v>1085</v>
      </c>
      <c r="V787" s="1"/>
    </row>
    <row r="788" spans="21:22" x14ac:dyDescent="0.3">
      <c r="U788" s="1" t="s">
        <v>1086</v>
      </c>
      <c r="V788" s="1"/>
    </row>
    <row r="789" spans="21:22" x14ac:dyDescent="0.3">
      <c r="U789" s="1" t="s">
        <v>1087</v>
      </c>
      <c r="V789" s="1"/>
    </row>
    <row r="790" spans="21:22" x14ac:dyDescent="0.3">
      <c r="U790" s="1" t="s">
        <v>1088</v>
      </c>
      <c r="V790" s="1"/>
    </row>
    <row r="791" spans="21:22" x14ac:dyDescent="0.3">
      <c r="U791" s="1" t="s">
        <v>1089</v>
      </c>
      <c r="V791" s="1"/>
    </row>
    <row r="792" spans="21:22" x14ac:dyDescent="0.3">
      <c r="U792" s="1" t="s">
        <v>1090</v>
      </c>
      <c r="V792" s="1"/>
    </row>
    <row r="793" spans="21:22" x14ac:dyDescent="0.3">
      <c r="U793" s="1" t="s">
        <v>1091</v>
      </c>
      <c r="V793" s="1"/>
    </row>
    <row r="794" spans="21:22" x14ac:dyDescent="0.3">
      <c r="U794" s="1" t="s">
        <v>1092</v>
      </c>
      <c r="V794" s="1"/>
    </row>
    <row r="795" spans="21:22" x14ac:dyDescent="0.3">
      <c r="U795" s="1" t="s">
        <v>1093</v>
      </c>
      <c r="V795" s="1"/>
    </row>
    <row r="796" spans="21:22" x14ac:dyDescent="0.3">
      <c r="U796" s="1" t="s">
        <v>1094</v>
      </c>
      <c r="V796" s="1"/>
    </row>
    <row r="797" spans="21:22" x14ac:dyDescent="0.3">
      <c r="U797" s="1" t="s">
        <v>1095</v>
      </c>
      <c r="V797" s="1"/>
    </row>
    <row r="798" spans="21:22" x14ac:dyDescent="0.3">
      <c r="U798" s="1" t="s">
        <v>1096</v>
      </c>
      <c r="V798" s="1"/>
    </row>
    <row r="799" spans="21:22" x14ac:dyDescent="0.3">
      <c r="U799" s="1" t="s">
        <v>1097</v>
      </c>
      <c r="V799" s="1"/>
    </row>
    <row r="800" spans="21:22" x14ac:dyDescent="0.3">
      <c r="U800" s="1" t="s">
        <v>1098</v>
      </c>
      <c r="V800" s="1"/>
    </row>
    <row r="801" spans="21:22" x14ac:dyDescent="0.3">
      <c r="U801" s="1" t="s">
        <v>1099</v>
      </c>
      <c r="V801" s="1"/>
    </row>
    <row r="802" spans="21:22" x14ac:dyDescent="0.3">
      <c r="U802" s="1" t="s">
        <v>1100</v>
      </c>
      <c r="V802" s="1"/>
    </row>
    <row r="803" spans="21:22" x14ac:dyDescent="0.3">
      <c r="U803" s="1" t="s">
        <v>1101</v>
      </c>
      <c r="V803" s="1"/>
    </row>
    <row r="804" spans="21:22" x14ac:dyDescent="0.3">
      <c r="U804" s="1" t="s">
        <v>1102</v>
      </c>
      <c r="V804" s="1"/>
    </row>
    <row r="805" spans="21:22" x14ac:dyDescent="0.3">
      <c r="U805" s="1" t="s">
        <v>1103</v>
      </c>
      <c r="V805" s="1"/>
    </row>
    <row r="806" spans="21:22" x14ac:dyDescent="0.3">
      <c r="U806" s="1" t="s">
        <v>1104</v>
      </c>
      <c r="V806" s="1"/>
    </row>
    <row r="807" spans="21:22" x14ac:dyDescent="0.3">
      <c r="U807" s="1" t="s">
        <v>1105</v>
      </c>
      <c r="V807" s="1"/>
    </row>
    <row r="808" spans="21:22" x14ac:dyDescent="0.3">
      <c r="U808" s="1" t="s">
        <v>1106</v>
      </c>
      <c r="V808" s="1"/>
    </row>
    <row r="809" spans="21:22" x14ac:dyDescent="0.3">
      <c r="U809" s="1" t="s">
        <v>1107</v>
      </c>
      <c r="V809" s="1"/>
    </row>
    <row r="810" spans="21:22" x14ac:dyDescent="0.3">
      <c r="U810" s="1" t="s">
        <v>1108</v>
      </c>
      <c r="V810" s="1"/>
    </row>
    <row r="811" spans="21:22" x14ac:dyDescent="0.3">
      <c r="U811" s="1" t="s">
        <v>1109</v>
      </c>
      <c r="V811" s="1"/>
    </row>
    <row r="812" spans="21:22" x14ac:dyDescent="0.3">
      <c r="U812" s="1" t="s">
        <v>1110</v>
      </c>
      <c r="V812" s="1"/>
    </row>
    <row r="813" spans="21:22" x14ac:dyDescent="0.3">
      <c r="U813" s="1" t="s">
        <v>1111</v>
      </c>
      <c r="V813" s="1"/>
    </row>
    <row r="814" spans="21:22" x14ac:dyDescent="0.3">
      <c r="U814" s="1" t="s">
        <v>1112</v>
      </c>
      <c r="V814" s="1"/>
    </row>
    <row r="815" spans="21:22" x14ac:dyDescent="0.3">
      <c r="U815" s="1" t="s">
        <v>1113</v>
      </c>
      <c r="V815" s="1"/>
    </row>
    <row r="816" spans="21:22" x14ac:dyDescent="0.3">
      <c r="U816" s="1" t="s">
        <v>1114</v>
      </c>
      <c r="V816" s="1"/>
    </row>
    <row r="817" spans="21:22" x14ac:dyDescent="0.3">
      <c r="U817" s="1" t="s">
        <v>1115</v>
      </c>
      <c r="V817" s="1"/>
    </row>
    <row r="818" spans="21:22" x14ac:dyDescent="0.3">
      <c r="U818" s="1" t="s">
        <v>1116</v>
      </c>
      <c r="V818" s="1"/>
    </row>
    <row r="819" spans="21:22" x14ac:dyDescent="0.3">
      <c r="U819" s="1" t="s">
        <v>1117</v>
      </c>
      <c r="V819" s="1"/>
    </row>
    <row r="820" spans="21:22" x14ac:dyDescent="0.3">
      <c r="U820" s="1" t="s">
        <v>1118</v>
      </c>
      <c r="V820" s="1"/>
    </row>
    <row r="821" spans="21:22" x14ac:dyDescent="0.3">
      <c r="U821" s="1" t="s">
        <v>1119</v>
      </c>
      <c r="V821" s="1"/>
    </row>
    <row r="822" spans="21:22" x14ac:dyDescent="0.3">
      <c r="U822" s="1" t="s">
        <v>1120</v>
      </c>
      <c r="V822" s="1"/>
    </row>
    <row r="823" spans="21:22" x14ac:dyDescent="0.3">
      <c r="U823" s="1" t="s">
        <v>1121</v>
      </c>
      <c r="V823" s="1"/>
    </row>
    <row r="824" spans="21:22" x14ac:dyDescent="0.3">
      <c r="U824" s="1" t="s">
        <v>1122</v>
      </c>
      <c r="V824" s="1"/>
    </row>
    <row r="825" spans="21:22" x14ac:dyDescent="0.3">
      <c r="U825" s="1" t="s">
        <v>1123</v>
      </c>
      <c r="V825" s="1"/>
    </row>
    <row r="826" spans="21:22" x14ac:dyDescent="0.3">
      <c r="U826" s="1" t="s">
        <v>1124</v>
      </c>
      <c r="V826" s="1"/>
    </row>
    <row r="827" spans="21:22" x14ac:dyDescent="0.3">
      <c r="U827" s="1" t="s">
        <v>1125</v>
      </c>
      <c r="V827" s="1"/>
    </row>
    <row r="828" spans="21:22" x14ac:dyDescent="0.3">
      <c r="U828" s="1" t="s">
        <v>1126</v>
      </c>
      <c r="V828" s="1"/>
    </row>
    <row r="829" spans="21:22" x14ac:dyDescent="0.3">
      <c r="U829" s="1" t="s">
        <v>1127</v>
      </c>
      <c r="V829" s="1"/>
    </row>
    <row r="830" spans="21:22" x14ac:dyDescent="0.3">
      <c r="U830" s="1" t="s">
        <v>1128</v>
      </c>
      <c r="V830" s="1"/>
    </row>
    <row r="831" spans="21:22" x14ac:dyDescent="0.3">
      <c r="U831" s="1" t="s">
        <v>1129</v>
      </c>
      <c r="V831" s="1"/>
    </row>
    <row r="832" spans="21:22" x14ac:dyDescent="0.3">
      <c r="U832" s="1" t="s">
        <v>1130</v>
      </c>
      <c r="V832" s="1"/>
    </row>
    <row r="833" spans="21:22" x14ac:dyDescent="0.3">
      <c r="U833" s="1" t="s">
        <v>1131</v>
      </c>
      <c r="V833" s="1"/>
    </row>
    <row r="834" spans="21:22" x14ac:dyDescent="0.3">
      <c r="U834" s="1" t="s">
        <v>1132</v>
      </c>
      <c r="V834" s="1"/>
    </row>
    <row r="835" spans="21:22" x14ac:dyDescent="0.3">
      <c r="U835" s="1" t="s">
        <v>1133</v>
      </c>
      <c r="V835" s="1"/>
    </row>
    <row r="836" spans="21:22" x14ac:dyDescent="0.3">
      <c r="U836" s="1" t="s">
        <v>1134</v>
      </c>
      <c r="V836" s="1"/>
    </row>
    <row r="837" spans="21:22" x14ac:dyDescent="0.3">
      <c r="U837" s="1" t="s">
        <v>1135</v>
      </c>
      <c r="V837" s="1"/>
    </row>
    <row r="838" spans="21:22" x14ac:dyDescent="0.3">
      <c r="U838" s="1" t="s">
        <v>1136</v>
      </c>
      <c r="V838" s="1"/>
    </row>
    <row r="839" spans="21:22" x14ac:dyDescent="0.3">
      <c r="U839" s="1" t="s">
        <v>1137</v>
      </c>
      <c r="V839" s="1"/>
    </row>
    <row r="840" spans="21:22" x14ac:dyDescent="0.3">
      <c r="U840" s="1" t="s">
        <v>1138</v>
      </c>
      <c r="V840" s="1"/>
    </row>
    <row r="841" spans="21:22" x14ac:dyDescent="0.3">
      <c r="U841" s="1" t="s">
        <v>1139</v>
      </c>
      <c r="V841" s="1"/>
    </row>
    <row r="842" spans="21:22" x14ac:dyDescent="0.3">
      <c r="U842" s="1" t="s">
        <v>1140</v>
      </c>
      <c r="V842" s="1"/>
    </row>
    <row r="843" spans="21:22" x14ac:dyDescent="0.3">
      <c r="U843" s="1" t="s">
        <v>1141</v>
      </c>
      <c r="V843" s="1"/>
    </row>
    <row r="844" spans="21:22" x14ac:dyDescent="0.3">
      <c r="U844" s="1" t="s">
        <v>1142</v>
      </c>
      <c r="V844" s="1"/>
    </row>
    <row r="845" spans="21:22" x14ac:dyDescent="0.3">
      <c r="U845" s="1" t="s">
        <v>1143</v>
      </c>
      <c r="V845" s="1"/>
    </row>
    <row r="846" spans="21:22" x14ac:dyDescent="0.3">
      <c r="U846" s="1" t="s">
        <v>1144</v>
      </c>
      <c r="V846" s="1"/>
    </row>
    <row r="847" spans="21:22" x14ac:dyDescent="0.3">
      <c r="U847" s="1" t="s">
        <v>1145</v>
      </c>
      <c r="V847" s="1"/>
    </row>
    <row r="848" spans="21:22" x14ac:dyDescent="0.3">
      <c r="U848" s="1" t="s">
        <v>1146</v>
      </c>
      <c r="V848" s="1"/>
    </row>
    <row r="849" spans="21:22" x14ac:dyDescent="0.3">
      <c r="U849" s="1" t="s">
        <v>1147</v>
      </c>
      <c r="V849" s="1"/>
    </row>
    <row r="850" spans="21:22" x14ac:dyDescent="0.3">
      <c r="U850" s="1" t="s">
        <v>1148</v>
      </c>
      <c r="V850" s="1"/>
    </row>
    <row r="851" spans="21:22" x14ac:dyDescent="0.3">
      <c r="U851" s="1" t="s">
        <v>1149</v>
      </c>
      <c r="V851" s="1"/>
    </row>
    <row r="852" spans="21:22" x14ac:dyDescent="0.3">
      <c r="U852" s="1" t="s">
        <v>1150</v>
      </c>
      <c r="V852" s="1"/>
    </row>
    <row r="853" spans="21:22" x14ac:dyDescent="0.3">
      <c r="U853" s="1" t="s">
        <v>1151</v>
      </c>
      <c r="V853" s="1"/>
    </row>
    <row r="854" spans="21:22" x14ac:dyDescent="0.3">
      <c r="U854" s="1" t="s">
        <v>1152</v>
      </c>
      <c r="V854" s="1"/>
    </row>
    <row r="855" spans="21:22" x14ac:dyDescent="0.3">
      <c r="U855" s="1" t="s">
        <v>1153</v>
      </c>
      <c r="V855" s="1"/>
    </row>
    <row r="856" spans="21:22" x14ac:dyDescent="0.3">
      <c r="U856" s="1" t="s">
        <v>1154</v>
      </c>
      <c r="V856" s="1"/>
    </row>
    <row r="857" spans="21:22" x14ac:dyDescent="0.3">
      <c r="U857" s="1" t="s">
        <v>1155</v>
      </c>
      <c r="V857" s="1"/>
    </row>
    <row r="858" spans="21:22" x14ac:dyDescent="0.3">
      <c r="U858" s="1" t="s">
        <v>1156</v>
      </c>
      <c r="V858" s="1"/>
    </row>
    <row r="859" spans="21:22" x14ac:dyDescent="0.3">
      <c r="U859" s="1" t="s">
        <v>1157</v>
      </c>
      <c r="V859" s="1"/>
    </row>
    <row r="860" spans="21:22" x14ac:dyDescent="0.3">
      <c r="U860" s="1" t="s">
        <v>1158</v>
      </c>
      <c r="V860" s="1"/>
    </row>
    <row r="861" spans="21:22" x14ac:dyDescent="0.3">
      <c r="U861" s="1" t="s">
        <v>1159</v>
      </c>
      <c r="V861" s="1"/>
    </row>
    <row r="862" spans="21:22" x14ac:dyDescent="0.3">
      <c r="U862" s="1" t="s">
        <v>1160</v>
      </c>
      <c r="V862" s="1"/>
    </row>
    <row r="863" spans="21:22" x14ac:dyDescent="0.3">
      <c r="U863" s="1" t="s">
        <v>1161</v>
      </c>
      <c r="V863" s="1"/>
    </row>
    <row r="864" spans="21:22" x14ac:dyDescent="0.3">
      <c r="U864" s="1" t="s">
        <v>1162</v>
      </c>
      <c r="V864" s="1"/>
    </row>
    <row r="865" spans="21:22" x14ac:dyDescent="0.3">
      <c r="U865" s="1" t="s">
        <v>1163</v>
      </c>
      <c r="V865" s="1"/>
    </row>
    <row r="866" spans="21:22" x14ac:dyDescent="0.3">
      <c r="U866" s="1" t="s">
        <v>1164</v>
      </c>
      <c r="V866" s="1"/>
    </row>
    <row r="867" spans="21:22" x14ac:dyDescent="0.3">
      <c r="U867" s="1" t="s">
        <v>1165</v>
      </c>
      <c r="V867" s="1"/>
    </row>
    <row r="868" spans="21:22" x14ac:dyDescent="0.3">
      <c r="U868" s="1" t="s">
        <v>1166</v>
      </c>
      <c r="V868" s="1"/>
    </row>
    <row r="869" spans="21:22" x14ac:dyDescent="0.3">
      <c r="U869" s="1" t="s">
        <v>1167</v>
      </c>
      <c r="V869" s="1"/>
    </row>
    <row r="870" spans="21:22" x14ac:dyDescent="0.3">
      <c r="U870" s="1" t="s">
        <v>1168</v>
      </c>
      <c r="V870" s="1"/>
    </row>
    <row r="871" spans="21:22" x14ac:dyDescent="0.3">
      <c r="U871" s="1" t="s">
        <v>1169</v>
      </c>
      <c r="V871" s="1"/>
    </row>
    <row r="872" spans="21:22" x14ac:dyDescent="0.3">
      <c r="U872" s="1" t="s">
        <v>1170</v>
      </c>
      <c r="V872" s="1"/>
    </row>
    <row r="873" spans="21:22" x14ac:dyDescent="0.3">
      <c r="U873" s="1" t="s">
        <v>1171</v>
      </c>
      <c r="V873" s="1"/>
    </row>
    <row r="874" spans="21:22" x14ac:dyDescent="0.3">
      <c r="U874" s="1" t="s">
        <v>1172</v>
      </c>
      <c r="V874" s="1"/>
    </row>
    <row r="875" spans="21:22" x14ac:dyDescent="0.3">
      <c r="U875" s="1" t="s">
        <v>1173</v>
      </c>
      <c r="V875" s="1"/>
    </row>
    <row r="876" spans="21:22" x14ac:dyDescent="0.3">
      <c r="U876" s="1" t="s">
        <v>1174</v>
      </c>
      <c r="V876" s="1"/>
    </row>
    <row r="877" spans="21:22" x14ac:dyDescent="0.3">
      <c r="U877" s="1" t="s">
        <v>1175</v>
      </c>
      <c r="V877" s="1"/>
    </row>
    <row r="878" spans="21:22" x14ac:dyDescent="0.3">
      <c r="U878" s="1" t="s">
        <v>1176</v>
      </c>
      <c r="V878" s="1"/>
    </row>
    <row r="879" spans="21:22" x14ac:dyDescent="0.3">
      <c r="U879" s="1" t="s">
        <v>1177</v>
      </c>
      <c r="V879" s="1"/>
    </row>
    <row r="880" spans="21:22" x14ac:dyDescent="0.3">
      <c r="U880" s="1" t="s">
        <v>1178</v>
      </c>
      <c r="V880" s="1"/>
    </row>
    <row r="881" spans="21:22" x14ac:dyDescent="0.3">
      <c r="U881" s="1" t="s">
        <v>1179</v>
      </c>
      <c r="V881" s="1"/>
    </row>
    <row r="882" spans="21:22" x14ac:dyDescent="0.3">
      <c r="U882" s="1" t="s">
        <v>1180</v>
      </c>
      <c r="V882" s="1"/>
    </row>
    <row r="883" spans="21:22" x14ac:dyDescent="0.3">
      <c r="U883" s="1" t="s">
        <v>1181</v>
      </c>
      <c r="V883" s="1"/>
    </row>
    <row r="884" spans="21:22" x14ac:dyDescent="0.3">
      <c r="U884" s="1" t="s">
        <v>1182</v>
      </c>
      <c r="V884" s="1"/>
    </row>
    <row r="885" spans="21:22" x14ac:dyDescent="0.3">
      <c r="U885" s="1" t="s">
        <v>1183</v>
      </c>
      <c r="V885" s="1"/>
    </row>
    <row r="886" spans="21:22" x14ac:dyDescent="0.3">
      <c r="U886" s="1" t="s">
        <v>1184</v>
      </c>
      <c r="V886" s="1"/>
    </row>
    <row r="887" spans="21:22" x14ac:dyDescent="0.3">
      <c r="U887" s="1" t="s">
        <v>1185</v>
      </c>
      <c r="V887" s="1"/>
    </row>
    <row r="888" spans="21:22" x14ac:dyDescent="0.3">
      <c r="U888" s="1" t="s">
        <v>1186</v>
      </c>
      <c r="V888" s="1"/>
    </row>
    <row r="889" spans="21:22" x14ac:dyDescent="0.3">
      <c r="U889" s="1" t="s">
        <v>1187</v>
      </c>
      <c r="V889" s="1"/>
    </row>
    <row r="890" spans="21:22" x14ac:dyDescent="0.3">
      <c r="U890" s="1" t="s">
        <v>1188</v>
      </c>
      <c r="V890" s="1"/>
    </row>
    <row r="891" spans="21:22" x14ac:dyDescent="0.3">
      <c r="U891" s="1" t="s">
        <v>1189</v>
      </c>
      <c r="V891" s="1"/>
    </row>
    <row r="892" spans="21:22" x14ac:dyDescent="0.3">
      <c r="U892" s="1" t="s">
        <v>1190</v>
      </c>
      <c r="V892" s="1"/>
    </row>
    <row r="893" spans="21:22" x14ac:dyDescent="0.3">
      <c r="U893" s="1" t="s">
        <v>1191</v>
      </c>
      <c r="V893" s="1"/>
    </row>
    <row r="894" spans="21:22" x14ac:dyDescent="0.3">
      <c r="U894" s="1" t="s">
        <v>1192</v>
      </c>
      <c r="V894" s="1"/>
    </row>
    <row r="895" spans="21:22" x14ac:dyDescent="0.3">
      <c r="U895" s="1" t="s">
        <v>1193</v>
      </c>
      <c r="V895" s="1"/>
    </row>
    <row r="896" spans="21:22" x14ac:dyDescent="0.3">
      <c r="U896" s="1" t="s">
        <v>1194</v>
      </c>
      <c r="V896" s="1"/>
    </row>
    <row r="897" spans="21:22" x14ac:dyDescent="0.3">
      <c r="U897" s="1" t="s">
        <v>1195</v>
      </c>
      <c r="V897" s="1"/>
    </row>
    <row r="898" spans="21:22" x14ac:dyDescent="0.3">
      <c r="U898" s="1" t="s">
        <v>1196</v>
      </c>
      <c r="V898" s="1"/>
    </row>
    <row r="899" spans="21:22" x14ac:dyDescent="0.3">
      <c r="U899" s="1" t="s">
        <v>1197</v>
      </c>
      <c r="V899" s="1"/>
    </row>
    <row r="900" spans="21:22" x14ac:dyDescent="0.3">
      <c r="U900" s="1" t="s">
        <v>1198</v>
      </c>
      <c r="V900" s="1"/>
    </row>
    <row r="901" spans="21:22" x14ac:dyDescent="0.3">
      <c r="U901" s="1" t="s">
        <v>1199</v>
      </c>
      <c r="V901" s="1"/>
    </row>
    <row r="902" spans="21:22" x14ac:dyDescent="0.3">
      <c r="U902" s="1" t="s">
        <v>1200</v>
      </c>
      <c r="V902" s="1"/>
    </row>
    <row r="903" spans="21:22" x14ac:dyDescent="0.3">
      <c r="U903" s="1" t="s">
        <v>1201</v>
      </c>
      <c r="V903" s="1"/>
    </row>
    <row r="904" spans="21:22" x14ac:dyDescent="0.3">
      <c r="U904" s="1" t="s">
        <v>1202</v>
      </c>
      <c r="V904" s="1"/>
    </row>
    <row r="905" spans="21:22" x14ac:dyDescent="0.3">
      <c r="U905" s="1" t="s">
        <v>1203</v>
      </c>
      <c r="V905" s="1"/>
    </row>
    <row r="906" spans="21:22" x14ac:dyDescent="0.3">
      <c r="U906" s="1" t="s">
        <v>1204</v>
      </c>
      <c r="V906" s="1"/>
    </row>
    <row r="907" spans="21:22" x14ac:dyDescent="0.3">
      <c r="U907" s="1" t="s">
        <v>1205</v>
      </c>
      <c r="V907" s="1"/>
    </row>
    <row r="908" spans="21:22" x14ac:dyDescent="0.3">
      <c r="U908" s="1" t="s">
        <v>1206</v>
      </c>
      <c r="V908" s="1"/>
    </row>
    <row r="909" spans="21:22" x14ac:dyDescent="0.3">
      <c r="U909" s="1" t="s">
        <v>1207</v>
      </c>
      <c r="V909" s="1"/>
    </row>
    <row r="910" spans="21:22" x14ac:dyDescent="0.3">
      <c r="U910" s="1" t="s">
        <v>1208</v>
      </c>
      <c r="V910" s="1"/>
    </row>
    <row r="911" spans="21:22" x14ac:dyDescent="0.3">
      <c r="U911" s="1" t="s">
        <v>1209</v>
      </c>
      <c r="V911" s="1"/>
    </row>
    <row r="912" spans="21:22" x14ac:dyDescent="0.3">
      <c r="U912" s="1" t="s">
        <v>1210</v>
      </c>
      <c r="V912" s="1"/>
    </row>
    <row r="913" spans="21:22" x14ac:dyDescent="0.3">
      <c r="U913" s="1" t="s">
        <v>1211</v>
      </c>
      <c r="V913" s="1"/>
    </row>
    <row r="914" spans="21:22" x14ac:dyDescent="0.3">
      <c r="U914" s="1" t="s">
        <v>1212</v>
      </c>
      <c r="V914" s="1"/>
    </row>
    <row r="915" spans="21:22" x14ac:dyDescent="0.3">
      <c r="U915" s="1" t="s">
        <v>1213</v>
      </c>
      <c r="V915" s="1"/>
    </row>
    <row r="916" spans="21:22" x14ac:dyDescent="0.3">
      <c r="U916" s="1" t="s">
        <v>1214</v>
      </c>
      <c r="V916" s="1"/>
    </row>
    <row r="917" spans="21:22" x14ac:dyDescent="0.3">
      <c r="U917" s="1" t="s">
        <v>1215</v>
      </c>
      <c r="V917" s="1"/>
    </row>
    <row r="918" spans="21:22" x14ac:dyDescent="0.3">
      <c r="U918" s="1" t="s">
        <v>1216</v>
      </c>
      <c r="V918" s="1"/>
    </row>
    <row r="919" spans="21:22" x14ac:dyDescent="0.3">
      <c r="U919" s="1" t="s">
        <v>1217</v>
      </c>
      <c r="V919" s="1"/>
    </row>
    <row r="920" spans="21:22" x14ac:dyDescent="0.3">
      <c r="U920" s="1" t="s">
        <v>1218</v>
      </c>
      <c r="V920" s="1"/>
    </row>
    <row r="921" spans="21:22" x14ac:dyDescent="0.3">
      <c r="U921" s="1" t="s">
        <v>1219</v>
      </c>
      <c r="V921" s="1"/>
    </row>
    <row r="922" spans="21:22" x14ac:dyDescent="0.3">
      <c r="U922" s="1" t="s">
        <v>1220</v>
      </c>
      <c r="V922" s="1"/>
    </row>
    <row r="923" spans="21:22" x14ac:dyDescent="0.3">
      <c r="U923" s="1" t="s">
        <v>1221</v>
      </c>
      <c r="V923" s="1"/>
    </row>
    <row r="924" spans="21:22" x14ac:dyDescent="0.3">
      <c r="U924" s="1" t="s">
        <v>1222</v>
      </c>
      <c r="V924" s="1"/>
    </row>
    <row r="925" spans="21:22" x14ac:dyDescent="0.3">
      <c r="U925" s="1" t="s">
        <v>1223</v>
      </c>
      <c r="V925" s="1"/>
    </row>
    <row r="926" spans="21:22" x14ac:dyDescent="0.3">
      <c r="U926" s="1" t="s">
        <v>1224</v>
      </c>
      <c r="V926" s="1"/>
    </row>
    <row r="927" spans="21:22" x14ac:dyDescent="0.3">
      <c r="U927" s="1" t="s">
        <v>1225</v>
      </c>
      <c r="V927" s="1"/>
    </row>
    <row r="928" spans="21:22" x14ac:dyDescent="0.3">
      <c r="U928" s="1" t="s">
        <v>1226</v>
      </c>
      <c r="V928" s="1"/>
    </row>
    <row r="929" spans="21:22" x14ac:dyDescent="0.3">
      <c r="U929" s="1" t="s">
        <v>1227</v>
      </c>
      <c r="V929" s="1"/>
    </row>
    <row r="930" spans="21:22" x14ac:dyDescent="0.3">
      <c r="U930" s="1" t="s">
        <v>1228</v>
      </c>
      <c r="V930" s="1"/>
    </row>
    <row r="931" spans="21:22" x14ac:dyDescent="0.3">
      <c r="U931" s="1" t="s">
        <v>1229</v>
      </c>
      <c r="V931" s="1"/>
    </row>
    <row r="932" spans="21:22" x14ac:dyDescent="0.3">
      <c r="U932" s="1" t="s">
        <v>1230</v>
      </c>
      <c r="V932" s="1"/>
    </row>
    <row r="933" spans="21:22" x14ac:dyDescent="0.3">
      <c r="U933" s="1" t="s">
        <v>1231</v>
      </c>
      <c r="V933" s="1"/>
    </row>
    <row r="934" spans="21:22" x14ac:dyDescent="0.3">
      <c r="U934" s="1" t="s">
        <v>1232</v>
      </c>
      <c r="V934" s="1"/>
    </row>
    <row r="935" spans="21:22" x14ac:dyDescent="0.3">
      <c r="U935" s="1" t="s">
        <v>1233</v>
      </c>
      <c r="V935" s="1"/>
    </row>
    <row r="936" spans="21:22" x14ac:dyDescent="0.3">
      <c r="U936" s="1" t="s">
        <v>1234</v>
      </c>
      <c r="V936" s="1"/>
    </row>
    <row r="937" spans="21:22" x14ac:dyDescent="0.3">
      <c r="U937" s="1" t="s">
        <v>1235</v>
      </c>
      <c r="V937" s="1"/>
    </row>
    <row r="938" spans="21:22" x14ac:dyDescent="0.3">
      <c r="U938" s="1" t="s">
        <v>1236</v>
      </c>
      <c r="V938" s="1"/>
    </row>
    <row r="939" spans="21:22" x14ac:dyDescent="0.3">
      <c r="U939" s="1" t="s">
        <v>1237</v>
      </c>
      <c r="V939" s="1"/>
    </row>
    <row r="940" spans="21:22" x14ac:dyDescent="0.3">
      <c r="U940" s="1" t="s">
        <v>1238</v>
      </c>
      <c r="V940" s="1"/>
    </row>
    <row r="941" spans="21:22" x14ac:dyDescent="0.3">
      <c r="U941" s="1" t="s">
        <v>1239</v>
      </c>
      <c r="V941" s="1"/>
    </row>
    <row r="942" spans="21:22" x14ac:dyDescent="0.3">
      <c r="U942" s="1" t="s">
        <v>1240</v>
      </c>
      <c r="V942" s="1"/>
    </row>
    <row r="943" spans="21:22" x14ac:dyDescent="0.3">
      <c r="U943" s="1" t="s">
        <v>1241</v>
      </c>
      <c r="V943" s="1"/>
    </row>
    <row r="944" spans="21:22" x14ac:dyDescent="0.3">
      <c r="U944" s="1" t="s">
        <v>1242</v>
      </c>
      <c r="V944" s="1"/>
    </row>
    <row r="945" spans="21:22" x14ac:dyDescent="0.3">
      <c r="U945" s="1" t="s">
        <v>1243</v>
      </c>
      <c r="V945" s="1"/>
    </row>
    <row r="946" spans="21:22" x14ac:dyDescent="0.3">
      <c r="U946" s="1" t="s">
        <v>1244</v>
      </c>
      <c r="V946" s="1"/>
    </row>
    <row r="947" spans="21:22" x14ac:dyDescent="0.3">
      <c r="U947" s="1" t="s">
        <v>1245</v>
      </c>
      <c r="V947" s="1"/>
    </row>
    <row r="948" spans="21:22" x14ac:dyDescent="0.3">
      <c r="U948" s="1" t="s">
        <v>1246</v>
      </c>
      <c r="V948" s="1"/>
    </row>
    <row r="949" spans="21:22" x14ac:dyDescent="0.3">
      <c r="U949" s="1" t="s">
        <v>1247</v>
      </c>
      <c r="V949" s="1"/>
    </row>
    <row r="950" spans="21:22" x14ac:dyDescent="0.3">
      <c r="U950" s="1" t="s">
        <v>1248</v>
      </c>
      <c r="V950" s="1"/>
    </row>
    <row r="951" spans="21:22" x14ac:dyDescent="0.3">
      <c r="U951" s="1" t="s">
        <v>1249</v>
      </c>
      <c r="V951" s="1"/>
    </row>
    <row r="952" spans="21:22" x14ac:dyDescent="0.3">
      <c r="U952" s="1" t="s">
        <v>1250</v>
      </c>
      <c r="V952" s="1"/>
    </row>
    <row r="953" spans="21:22" x14ac:dyDescent="0.3">
      <c r="U953" s="1" t="s">
        <v>1251</v>
      </c>
      <c r="V953" s="1"/>
    </row>
    <row r="954" spans="21:22" x14ac:dyDescent="0.3">
      <c r="U954" s="1" t="s">
        <v>1252</v>
      </c>
      <c r="V954" s="1"/>
    </row>
    <row r="955" spans="21:22" x14ac:dyDescent="0.3">
      <c r="U955" s="1" t="s">
        <v>1253</v>
      </c>
      <c r="V955" s="1"/>
    </row>
    <row r="956" spans="21:22" x14ac:dyDescent="0.3">
      <c r="U956" s="1" t="s">
        <v>1254</v>
      </c>
      <c r="V956" s="1"/>
    </row>
    <row r="957" spans="21:22" x14ac:dyDescent="0.3">
      <c r="U957" s="1" t="s">
        <v>1255</v>
      </c>
      <c r="V957" s="1"/>
    </row>
    <row r="958" spans="21:22" x14ac:dyDescent="0.3">
      <c r="U958" s="1" t="s">
        <v>1256</v>
      </c>
      <c r="V958" s="1"/>
    </row>
    <row r="959" spans="21:22" x14ac:dyDescent="0.3">
      <c r="U959" s="1" t="s">
        <v>1257</v>
      </c>
      <c r="V959" s="1"/>
    </row>
    <row r="960" spans="21:22" x14ac:dyDescent="0.3">
      <c r="U960" s="1" t="s">
        <v>1258</v>
      </c>
      <c r="V960" s="1"/>
    </row>
    <row r="961" spans="21:22" x14ac:dyDescent="0.3">
      <c r="U961" s="1" t="s">
        <v>1259</v>
      </c>
      <c r="V961" s="1"/>
    </row>
    <row r="962" spans="21:22" x14ac:dyDescent="0.3">
      <c r="U962" s="1" t="s">
        <v>1260</v>
      </c>
      <c r="V962" s="1"/>
    </row>
    <row r="963" spans="21:22" x14ac:dyDescent="0.3">
      <c r="U963" s="1" t="s">
        <v>1261</v>
      </c>
      <c r="V963" s="1"/>
    </row>
    <row r="964" spans="21:22" x14ac:dyDescent="0.3">
      <c r="U964" s="1" t="s">
        <v>1262</v>
      </c>
      <c r="V964" s="1"/>
    </row>
    <row r="965" spans="21:22" x14ac:dyDescent="0.3">
      <c r="U965" s="1" t="s">
        <v>1263</v>
      </c>
      <c r="V965" s="1"/>
    </row>
    <row r="966" spans="21:22" x14ac:dyDescent="0.3">
      <c r="U966" s="1" t="s">
        <v>1264</v>
      </c>
      <c r="V966" s="1"/>
    </row>
    <row r="967" spans="21:22" x14ac:dyDescent="0.3">
      <c r="U967" s="1" t="s">
        <v>1265</v>
      </c>
      <c r="V967" s="1"/>
    </row>
    <row r="968" spans="21:22" x14ac:dyDescent="0.3">
      <c r="U968" s="1" t="s">
        <v>1266</v>
      </c>
      <c r="V968" s="1"/>
    </row>
    <row r="969" spans="21:22" x14ac:dyDescent="0.3">
      <c r="U969" s="1" t="s">
        <v>1267</v>
      </c>
      <c r="V969" s="1"/>
    </row>
    <row r="970" spans="21:22" x14ac:dyDescent="0.3">
      <c r="U970" s="1" t="s">
        <v>1268</v>
      </c>
      <c r="V970" s="1"/>
    </row>
    <row r="971" spans="21:22" x14ac:dyDescent="0.3">
      <c r="U971" s="1" t="s">
        <v>1269</v>
      </c>
      <c r="V971" s="1"/>
    </row>
    <row r="972" spans="21:22" x14ac:dyDescent="0.3">
      <c r="U972" s="1" t="s">
        <v>1270</v>
      </c>
      <c r="V972" s="1"/>
    </row>
    <row r="973" spans="21:22" x14ac:dyDescent="0.3">
      <c r="U973" s="1" t="s">
        <v>1271</v>
      </c>
      <c r="V973" s="1"/>
    </row>
    <row r="974" spans="21:22" x14ac:dyDescent="0.3">
      <c r="U974" s="1" t="s">
        <v>1272</v>
      </c>
      <c r="V974" s="1"/>
    </row>
    <row r="975" spans="21:22" x14ac:dyDescent="0.3">
      <c r="U975" s="1" t="s">
        <v>1273</v>
      </c>
      <c r="V975" s="1"/>
    </row>
    <row r="976" spans="21:22" x14ac:dyDescent="0.3">
      <c r="U976" s="1" t="s">
        <v>1274</v>
      </c>
      <c r="V976" s="1"/>
    </row>
    <row r="977" spans="21:22" x14ac:dyDescent="0.3">
      <c r="U977" s="1" t="s">
        <v>1275</v>
      </c>
      <c r="V977" s="1"/>
    </row>
    <row r="978" spans="21:22" x14ac:dyDescent="0.3">
      <c r="U978" s="1" t="s">
        <v>1276</v>
      </c>
      <c r="V978" s="1"/>
    </row>
    <row r="979" spans="21:22" x14ac:dyDescent="0.3">
      <c r="U979" s="1" t="s">
        <v>1277</v>
      </c>
      <c r="V979" s="1"/>
    </row>
    <row r="980" spans="21:22" x14ac:dyDescent="0.3">
      <c r="U980" s="1" t="s">
        <v>1278</v>
      </c>
      <c r="V980" s="1"/>
    </row>
    <row r="981" spans="21:22" x14ac:dyDescent="0.3">
      <c r="U981" s="1" t="s">
        <v>1279</v>
      </c>
      <c r="V981" s="1"/>
    </row>
    <row r="982" spans="21:22" x14ac:dyDescent="0.3">
      <c r="U982" s="1" t="s">
        <v>1280</v>
      </c>
      <c r="V982" s="1"/>
    </row>
    <row r="983" spans="21:22" x14ac:dyDescent="0.3">
      <c r="U983" s="1" t="s">
        <v>1281</v>
      </c>
      <c r="V983" s="1"/>
    </row>
    <row r="984" spans="21:22" x14ac:dyDescent="0.3">
      <c r="U984" s="1" t="s">
        <v>1282</v>
      </c>
      <c r="V984" s="1"/>
    </row>
    <row r="985" spans="21:22" x14ac:dyDescent="0.3">
      <c r="U985" s="1" t="s">
        <v>1283</v>
      </c>
      <c r="V985" s="1"/>
    </row>
    <row r="986" spans="21:22" x14ac:dyDescent="0.3">
      <c r="U986" s="1" t="s">
        <v>1284</v>
      </c>
      <c r="V986" s="1"/>
    </row>
    <row r="987" spans="21:22" x14ac:dyDescent="0.3">
      <c r="U987" s="1" t="s">
        <v>1285</v>
      </c>
      <c r="V987" s="1"/>
    </row>
    <row r="988" spans="21:22" x14ac:dyDescent="0.3">
      <c r="U988" s="1" t="s">
        <v>1286</v>
      </c>
      <c r="V988" s="1"/>
    </row>
    <row r="989" spans="21:22" x14ac:dyDescent="0.3">
      <c r="U989" s="1" t="s">
        <v>1287</v>
      </c>
      <c r="V989" s="1"/>
    </row>
    <row r="990" spans="21:22" x14ac:dyDescent="0.3">
      <c r="U990" s="1" t="s">
        <v>1288</v>
      </c>
      <c r="V990" s="1"/>
    </row>
    <row r="991" spans="21:22" x14ac:dyDescent="0.3">
      <c r="U991" s="1" t="s">
        <v>1289</v>
      </c>
      <c r="V991" s="1"/>
    </row>
    <row r="992" spans="21:22" x14ac:dyDescent="0.3">
      <c r="U992" s="1" t="s">
        <v>1290</v>
      </c>
      <c r="V992" s="1"/>
    </row>
    <row r="993" spans="21:22" x14ac:dyDescent="0.3">
      <c r="U993" s="1" t="s">
        <v>1291</v>
      </c>
      <c r="V993" s="1"/>
    </row>
    <row r="994" spans="21:22" x14ac:dyDescent="0.3">
      <c r="U994" s="1" t="s">
        <v>1292</v>
      </c>
      <c r="V994" s="1"/>
    </row>
    <row r="995" spans="21:22" x14ac:dyDescent="0.3">
      <c r="U995" s="1" t="s">
        <v>1293</v>
      </c>
      <c r="V995" s="1"/>
    </row>
    <row r="996" spans="21:22" x14ac:dyDescent="0.3">
      <c r="U996" s="1" t="s">
        <v>1294</v>
      </c>
      <c r="V996" s="1"/>
    </row>
    <row r="997" spans="21:22" x14ac:dyDescent="0.3">
      <c r="U997" s="1" t="s">
        <v>1295</v>
      </c>
      <c r="V997" s="1"/>
    </row>
    <row r="998" spans="21:22" x14ac:dyDescent="0.3">
      <c r="U998" s="1" t="s">
        <v>1296</v>
      </c>
      <c r="V998" s="1"/>
    </row>
    <row r="999" spans="21:22" x14ac:dyDescent="0.3">
      <c r="U999" s="1" t="s">
        <v>1297</v>
      </c>
      <c r="V999" s="1"/>
    </row>
    <row r="1000" spans="21:22" x14ac:dyDescent="0.3">
      <c r="U1000" s="1" t="s">
        <v>1298</v>
      </c>
      <c r="V1000" s="1"/>
    </row>
    <row r="1001" spans="21:22" x14ac:dyDescent="0.3">
      <c r="U1001" s="1" t="s">
        <v>1299</v>
      </c>
      <c r="V1001" s="1"/>
    </row>
    <row r="1002" spans="21:22" x14ac:dyDescent="0.3">
      <c r="U1002" s="1" t="s">
        <v>1300</v>
      </c>
      <c r="V1002" s="1"/>
    </row>
    <row r="1003" spans="21:22" x14ac:dyDescent="0.3">
      <c r="U1003" s="1" t="s">
        <v>1301</v>
      </c>
      <c r="V1003" s="1"/>
    </row>
    <row r="1004" spans="21:22" x14ac:dyDescent="0.3">
      <c r="U1004" s="1" t="s">
        <v>1302</v>
      </c>
      <c r="V1004" s="1"/>
    </row>
    <row r="1005" spans="21:22" x14ac:dyDescent="0.3">
      <c r="U1005" s="1" t="s">
        <v>1303</v>
      </c>
      <c r="V1005" s="1"/>
    </row>
    <row r="1006" spans="21:22" x14ac:dyDescent="0.3">
      <c r="U1006" s="1" t="s">
        <v>1304</v>
      </c>
      <c r="V1006" s="1"/>
    </row>
    <row r="1007" spans="21:22" x14ac:dyDescent="0.3">
      <c r="U1007" s="1" t="s">
        <v>1305</v>
      </c>
      <c r="V1007" s="1"/>
    </row>
    <row r="1008" spans="21:22" x14ac:dyDescent="0.3">
      <c r="U1008" s="1" t="s">
        <v>1306</v>
      </c>
      <c r="V1008" s="1"/>
    </row>
    <row r="1009" spans="21:22" x14ac:dyDescent="0.3">
      <c r="U1009" s="1" t="s">
        <v>1307</v>
      </c>
      <c r="V1009" s="1"/>
    </row>
    <row r="1010" spans="21:22" x14ac:dyDescent="0.3">
      <c r="U1010" s="1" t="s">
        <v>1308</v>
      </c>
      <c r="V1010" s="1"/>
    </row>
    <row r="1011" spans="21:22" x14ac:dyDescent="0.3">
      <c r="U1011" s="1" t="s">
        <v>1309</v>
      </c>
      <c r="V1011" s="1"/>
    </row>
    <row r="1012" spans="21:22" x14ac:dyDescent="0.3">
      <c r="U1012" s="1" t="s">
        <v>1310</v>
      </c>
      <c r="V1012" s="1"/>
    </row>
    <row r="1013" spans="21:22" x14ac:dyDescent="0.3">
      <c r="U1013" s="1" t="s">
        <v>1311</v>
      </c>
      <c r="V1013" s="1"/>
    </row>
    <row r="1014" spans="21:22" x14ac:dyDescent="0.3">
      <c r="U1014" s="1" t="s">
        <v>1312</v>
      </c>
      <c r="V1014" s="1"/>
    </row>
    <row r="1015" spans="21:22" x14ac:dyDescent="0.3">
      <c r="U1015" s="1" t="s">
        <v>1313</v>
      </c>
      <c r="V1015" s="1"/>
    </row>
    <row r="1016" spans="21:22" x14ac:dyDescent="0.3">
      <c r="U1016" s="1" t="s">
        <v>1314</v>
      </c>
      <c r="V1016" s="1"/>
    </row>
    <row r="1017" spans="21:22" x14ac:dyDescent="0.3">
      <c r="U1017" s="1" t="s">
        <v>1315</v>
      </c>
      <c r="V1017" s="1"/>
    </row>
    <row r="1018" spans="21:22" x14ac:dyDescent="0.3">
      <c r="U1018" s="1" t="s">
        <v>1316</v>
      </c>
      <c r="V1018" s="1"/>
    </row>
    <row r="1019" spans="21:22" x14ac:dyDescent="0.3">
      <c r="U1019" s="1" t="s">
        <v>1317</v>
      </c>
      <c r="V1019" s="1"/>
    </row>
    <row r="1020" spans="21:22" x14ac:dyDescent="0.3">
      <c r="U1020" s="1" t="s">
        <v>1318</v>
      </c>
      <c r="V1020" s="1"/>
    </row>
    <row r="1021" spans="21:22" x14ac:dyDescent="0.3">
      <c r="U1021" s="1" t="s">
        <v>1319</v>
      </c>
      <c r="V1021" s="1"/>
    </row>
    <row r="1022" spans="21:22" x14ac:dyDescent="0.3">
      <c r="U1022" s="1" t="s">
        <v>1320</v>
      </c>
      <c r="V1022" s="1"/>
    </row>
    <row r="1023" spans="21:22" x14ac:dyDescent="0.3">
      <c r="U1023" s="1" t="s">
        <v>1321</v>
      </c>
      <c r="V1023" s="1"/>
    </row>
    <row r="1024" spans="21:22" x14ac:dyDescent="0.3">
      <c r="U1024" s="1" t="s">
        <v>1322</v>
      </c>
      <c r="V1024" s="1"/>
    </row>
    <row r="1025" spans="21:22" x14ac:dyDescent="0.3">
      <c r="U1025" s="1" t="s">
        <v>1323</v>
      </c>
      <c r="V1025" s="1"/>
    </row>
    <row r="1026" spans="21:22" x14ac:dyDescent="0.3">
      <c r="U1026" s="1" t="s">
        <v>1324</v>
      </c>
      <c r="V1026" s="1"/>
    </row>
    <row r="1027" spans="21:22" x14ac:dyDescent="0.3">
      <c r="U1027" s="1" t="s">
        <v>1325</v>
      </c>
      <c r="V1027" s="1"/>
    </row>
    <row r="1028" spans="21:22" x14ac:dyDescent="0.3">
      <c r="U1028" s="1" t="s">
        <v>1326</v>
      </c>
      <c r="V1028" s="1"/>
    </row>
    <row r="1029" spans="21:22" x14ac:dyDescent="0.3">
      <c r="U1029" s="1" t="s">
        <v>1327</v>
      </c>
      <c r="V1029" s="1"/>
    </row>
    <row r="1030" spans="21:22" x14ac:dyDescent="0.3">
      <c r="U1030" s="1" t="s">
        <v>1328</v>
      </c>
      <c r="V1030" s="1"/>
    </row>
    <row r="1031" spans="21:22" x14ac:dyDescent="0.3">
      <c r="U1031" s="1" t="s">
        <v>1329</v>
      </c>
      <c r="V1031" s="1"/>
    </row>
    <row r="1032" spans="21:22" x14ac:dyDescent="0.3">
      <c r="U1032" s="1" t="s">
        <v>1330</v>
      </c>
      <c r="V1032" s="1"/>
    </row>
    <row r="1033" spans="21:22" x14ac:dyDescent="0.3">
      <c r="U1033" s="1" t="s">
        <v>1331</v>
      </c>
      <c r="V1033" s="1"/>
    </row>
    <row r="1034" spans="21:22" x14ac:dyDescent="0.3">
      <c r="U1034" s="1" t="s">
        <v>1332</v>
      </c>
      <c r="V1034" s="1"/>
    </row>
    <row r="1035" spans="21:22" x14ac:dyDescent="0.3">
      <c r="U1035" s="1" t="s">
        <v>1333</v>
      </c>
      <c r="V1035" s="1"/>
    </row>
    <row r="1036" spans="21:22" x14ac:dyDescent="0.3">
      <c r="U1036" s="1" t="s">
        <v>1334</v>
      </c>
      <c r="V1036" s="1"/>
    </row>
    <row r="1037" spans="21:22" x14ac:dyDescent="0.3">
      <c r="U1037" s="1" t="s">
        <v>1335</v>
      </c>
      <c r="V1037" s="1"/>
    </row>
    <row r="1038" spans="21:22" x14ac:dyDescent="0.3">
      <c r="U1038" s="1" t="s">
        <v>1336</v>
      </c>
      <c r="V1038" s="1"/>
    </row>
    <row r="1039" spans="21:22" x14ac:dyDescent="0.3">
      <c r="U1039" s="1" t="s">
        <v>1337</v>
      </c>
      <c r="V1039" s="1"/>
    </row>
    <row r="1040" spans="21:22" x14ac:dyDescent="0.3">
      <c r="U1040" s="1" t="s">
        <v>1338</v>
      </c>
      <c r="V1040" s="1"/>
    </row>
    <row r="1041" spans="21:22" x14ac:dyDescent="0.3">
      <c r="U1041" s="1" t="s">
        <v>1339</v>
      </c>
      <c r="V1041" s="1"/>
    </row>
    <row r="1042" spans="21:22" x14ac:dyDescent="0.3">
      <c r="U1042" s="1" t="s">
        <v>1340</v>
      </c>
      <c r="V1042" s="1"/>
    </row>
    <row r="1043" spans="21:22" x14ac:dyDescent="0.3">
      <c r="U1043" s="1" t="s">
        <v>1341</v>
      </c>
      <c r="V1043" s="1"/>
    </row>
    <row r="1044" spans="21:22" x14ac:dyDescent="0.3">
      <c r="U1044" s="1" t="s">
        <v>1342</v>
      </c>
      <c r="V1044" s="1"/>
    </row>
    <row r="1045" spans="21:22" x14ac:dyDescent="0.3">
      <c r="U1045" s="1" t="s">
        <v>1343</v>
      </c>
      <c r="V1045" s="1"/>
    </row>
    <row r="1046" spans="21:22" x14ac:dyDescent="0.3">
      <c r="U1046" s="1" t="s">
        <v>1344</v>
      </c>
      <c r="V1046" s="1"/>
    </row>
    <row r="1047" spans="21:22" x14ac:dyDescent="0.3">
      <c r="U1047" s="1" t="s">
        <v>1345</v>
      </c>
      <c r="V1047" s="1"/>
    </row>
    <row r="1048" spans="21:22" x14ac:dyDescent="0.3">
      <c r="U1048" s="1" t="s">
        <v>1346</v>
      </c>
      <c r="V1048" s="1"/>
    </row>
    <row r="1049" spans="21:22" x14ac:dyDescent="0.3">
      <c r="U1049" s="1" t="s">
        <v>1347</v>
      </c>
      <c r="V1049" s="1"/>
    </row>
    <row r="1050" spans="21:22" x14ac:dyDescent="0.3">
      <c r="U1050" s="1" t="s">
        <v>1348</v>
      </c>
      <c r="V1050" s="1"/>
    </row>
    <row r="1051" spans="21:22" x14ac:dyDescent="0.3">
      <c r="U1051" s="1" t="s">
        <v>1349</v>
      </c>
      <c r="V1051" s="1"/>
    </row>
    <row r="1052" spans="21:22" x14ac:dyDescent="0.3">
      <c r="U1052" s="1" t="s">
        <v>1350</v>
      </c>
      <c r="V1052" s="1"/>
    </row>
    <row r="1053" spans="21:22" x14ac:dyDescent="0.3">
      <c r="U1053" s="1" t="s">
        <v>1351</v>
      </c>
      <c r="V1053" s="1"/>
    </row>
    <row r="1054" spans="21:22" x14ac:dyDescent="0.3">
      <c r="U1054" s="1" t="s">
        <v>1352</v>
      </c>
      <c r="V1054" s="1"/>
    </row>
    <row r="1055" spans="21:22" x14ac:dyDescent="0.3">
      <c r="U1055" s="1" t="s">
        <v>1353</v>
      </c>
      <c r="V1055" s="1"/>
    </row>
    <row r="1056" spans="21:22" x14ac:dyDescent="0.3">
      <c r="U1056" s="1" t="s">
        <v>1354</v>
      </c>
      <c r="V1056" s="1"/>
    </row>
    <row r="1057" spans="21:22" x14ac:dyDescent="0.3">
      <c r="U1057" s="1" t="s">
        <v>1355</v>
      </c>
      <c r="V1057" s="1"/>
    </row>
    <row r="1058" spans="21:22" x14ac:dyDescent="0.3">
      <c r="U1058" s="1" t="s">
        <v>1356</v>
      </c>
      <c r="V1058" s="1"/>
    </row>
    <row r="1059" spans="21:22" x14ac:dyDescent="0.3">
      <c r="U1059" s="1" t="s">
        <v>1357</v>
      </c>
      <c r="V1059" s="1"/>
    </row>
    <row r="1060" spans="21:22" x14ac:dyDescent="0.3">
      <c r="U1060" s="1" t="s">
        <v>1358</v>
      </c>
      <c r="V1060" s="1"/>
    </row>
    <row r="1061" spans="21:22" x14ac:dyDescent="0.3">
      <c r="U1061" s="1" t="s">
        <v>1359</v>
      </c>
      <c r="V1061" s="1"/>
    </row>
    <row r="1062" spans="21:22" x14ac:dyDescent="0.3">
      <c r="U1062" s="1" t="s">
        <v>1360</v>
      </c>
      <c r="V1062" s="1"/>
    </row>
    <row r="1063" spans="21:22" x14ac:dyDescent="0.3">
      <c r="U1063" s="1" t="s">
        <v>1361</v>
      </c>
      <c r="V1063" s="1"/>
    </row>
    <row r="1064" spans="21:22" x14ac:dyDescent="0.3">
      <c r="U1064" s="1" t="s">
        <v>1362</v>
      </c>
      <c r="V1064" s="1"/>
    </row>
    <row r="1065" spans="21:22" x14ac:dyDescent="0.3">
      <c r="U1065" s="1" t="s">
        <v>1363</v>
      </c>
      <c r="V1065" s="1"/>
    </row>
    <row r="1066" spans="21:22" x14ac:dyDescent="0.3">
      <c r="U1066" s="1" t="s">
        <v>1364</v>
      </c>
      <c r="V1066" s="1"/>
    </row>
    <row r="1067" spans="21:22" x14ac:dyDescent="0.3">
      <c r="U1067" s="1" t="s">
        <v>1365</v>
      </c>
      <c r="V1067" s="1"/>
    </row>
    <row r="1068" spans="21:22" x14ac:dyDescent="0.3">
      <c r="U1068" s="1" t="s">
        <v>1366</v>
      </c>
      <c r="V1068" s="1"/>
    </row>
    <row r="1069" spans="21:22" x14ac:dyDescent="0.3">
      <c r="U1069" s="1" t="s">
        <v>1367</v>
      </c>
      <c r="V1069" s="1"/>
    </row>
    <row r="1070" spans="21:22" x14ac:dyDescent="0.3">
      <c r="U1070" s="1" t="s">
        <v>1368</v>
      </c>
      <c r="V1070" s="1"/>
    </row>
    <row r="1071" spans="21:22" x14ac:dyDescent="0.3">
      <c r="U1071" s="1" t="s">
        <v>1369</v>
      </c>
      <c r="V1071" s="1"/>
    </row>
    <row r="1072" spans="21:22" x14ac:dyDescent="0.3">
      <c r="U1072" s="1" t="s">
        <v>1370</v>
      </c>
      <c r="V1072" s="1"/>
    </row>
    <row r="1073" spans="21:22" x14ac:dyDescent="0.3">
      <c r="U1073" s="1" t="s">
        <v>1371</v>
      </c>
      <c r="V1073" s="1"/>
    </row>
    <row r="1074" spans="21:22" x14ac:dyDescent="0.3">
      <c r="U1074" s="1" t="s">
        <v>1372</v>
      </c>
      <c r="V1074" s="1"/>
    </row>
    <row r="1075" spans="21:22" x14ac:dyDescent="0.3">
      <c r="U1075" s="1" t="s">
        <v>1373</v>
      </c>
      <c r="V1075" s="1"/>
    </row>
    <row r="1076" spans="21:22" x14ac:dyDescent="0.3">
      <c r="U1076" s="1" t="s">
        <v>1374</v>
      </c>
      <c r="V1076" s="1"/>
    </row>
    <row r="1077" spans="21:22" x14ac:dyDescent="0.3">
      <c r="U1077" s="1" t="s">
        <v>1375</v>
      </c>
      <c r="V1077" s="1"/>
    </row>
    <row r="1078" spans="21:22" x14ac:dyDescent="0.3">
      <c r="U1078" s="1" t="s">
        <v>1376</v>
      </c>
      <c r="V1078" s="1"/>
    </row>
    <row r="1079" spans="21:22" x14ac:dyDescent="0.3">
      <c r="U1079" s="1" t="s">
        <v>1377</v>
      </c>
      <c r="V1079" s="1"/>
    </row>
    <row r="1080" spans="21:22" x14ac:dyDescent="0.3">
      <c r="U1080" s="1" t="s">
        <v>1378</v>
      </c>
      <c r="V1080" s="1"/>
    </row>
    <row r="1081" spans="21:22" x14ac:dyDescent="0.3">
      <c r="U1081" s="1" t="s">
        <v>1379</v>
      </c>
      <c r="V1081" s="1"/>
    </row>
    <row r="1082" spans="21:22" x14ac:dyDescent="0.3">
      <c r="U1082" s="1" t="s">
        <v>1380</v>
      </c>
      <c r="V1082" s="1"/>
    </row>
    <row r="1083" spans="21:22" x14ac:dyDescent="0.3">
      <c r="U1083" s="1" t="s">
        <v>1381</v>
      </c>
      <c r="V1083" s="1"/>
    </row>
    <row r="1084" spans="21:22" x14ac:dyDescent="0.3">
      <c r="U1084" s="1" t="s">
        <v>1382</v>
      </c>
      <c r="V1084" s="1"/>
    </row>
    <row r="1085" spans="21:22" x14ac:dyDescent="0.3">
      <c r="U1085" s="1" t="s">
        <v>1383</v>
      </c>
      <c r="V1085" s="1"/>
    </row>
    <row r="1086" spans="21:22" x14ac:dyDescent="0.3">
      <c r="U1086" s="1" t="s">
        <v>1384</v>
      </c>
      <c r="V1086" s="1"/>
    </row>
    <row r="1087" spans="21:22" x14ac:dyDescent="0.3">
      <c r="U1087" s="1" t="s">
        <v>1385</v>
      </c>
      <c r="V1087" s="1"/>
    </row>
    <row r="1088" spans="21:22" x14ac:dyDescent="0.3">
      <c r="U1088" s="1" t="s">
        <v>1386</v>
      </c>
      <c r="V1088" s="1"/>
    </row>
    <row r="1089" spans="21:22" x14ac:dyDescent="0.3">
      <c r="U1089" s="1" t="s">
        <v>1387</v>
      </c>
      <c r="V1089" s="1"/>
    </row>
    <row r="1090" spans="21:22" x14ac:dyDescent="0.3">
      <c r="U1090" s="1" t="s">
        <v>1388</v>
      </c>
      <c r="V1090" s="1"/>
    </row>
    <row r="1091" spans="21:22" x14ac:dyDescent="0.3">
      <c r="U1091" s="1" t="s">
        <v>1389</v>
      </c>
      <c r="V1091" s="1"/>
    </row>
    <row r="1092" spans="21:22" x14ac:dyDescent="0.3">
      <c r="U1092" s="1" t="s">
        <v>1390</v>
      </c>
      <c r="V1092" s="1"/>
    </row>
    <row r="1093" spans="21:22" x14ac:dyDescent="0.3">
      <c r="U1093" s="1" t="s">
        <v>1391</v>
      </c>
      <c r="V1093" s="1"/>
    </row>
    <row r="1094" spans="21:22" x14ac:dyDescent="0.3">
      <c r="U1094" s="1" t="s">
        <v>1392</v>
      </c>
      <c r="V1094" s="1"/>
    </row>
    <row r="1095" spans="21:22" x14ac:dyDescent="0.3">
      <c r="U1095" s="1" t="s">
        <v>1393</v>
      </c>
      <c r="V1095" s="1"/>
    </row>
    <row r="1096" spans="21:22" x14ac:dyDescent="0.3">
      <c r="U1096" s="1" t="s">
        <v>1394</v>
      </c>
      <c r="V1096" s="1"/>
    </row>
    <row r="1097" spans="21:22" x14ac:dyDescent="0.3">
      <c r="U1097" s="1" t="s">
        <v>1395</v>
      </c>
      <c r="V1097" s="1"/>
    </row>
    <row r="1098" spans="21:22" x14ac:dyDescent="0.3">
      <c r="U1098" s="1" t="s">
        <v>1396</v>
      </c>
      <c r="V1098" s="1"/>
    </row>
    <row r="1099" spans="21:22" x14ac:dyDescent="0.3">
      <c r="U1099" s="1" t="s">
        <v>1397</v>
      </c>
      <c r="V1099" s="1"/>
    </row>
    <row r="1100" spans="21:22" x14ac:dyDescent="0.3">
      <c r="U1100" s="1" t="s">
        <v>1398</v>
      </c>
      <c r="V1100" s="1"/>
    </row>
    <row r="1101" spans="21:22" x14ac:dyDescent="0.3">
      <c r="U1101" s="1" t="s">
        <v>1399</v>
      </c>
      <c r="V1101" s="1"/>
    </row>
    <row r="1102" spans="21:22" x14ac:dyDescent="0.3">
      <c r="U1102" s="1" t="s">
        <v>1400</v>
      </c>
      <c r="V1102" s="1"/>
    </row>
    <row r="1103" spans="21:22" x14ac:dyDescent="0.3">
      <c r="U1103" s="1" t="s">
        <v>1401</v>
      </c>
      <c r="V1103" s="1"/>
    </row>
    <row r="1104" spans="21:22" x14ac:dyDescent="0.3">
      <c r="U1104" s="1" t="s">
        <v>1402</v>
      </c>
      <c r="V1104" s="1"/>
    </row>
    <row r="1105" spans="21:22" x14ac:dyDescent="0.3">
      <c r="U1105" s="1" t="s">
        <v>1403</v>
      </c>
      <c r="V1105" s="1"/>
    </row>
    <row r="1106" spans="21:22" x14ac:dyDescent="0.3">
      <c r="U1106" s="1" t="s">
        <v>1404</v>
      </c>
      <c r="V1106" s="1"/>
    </row>
    <row r="1107" spans="21:22" x14ac:dyDescent="0.3">
      <c r="U1107" s="1" t="s">
        <v>1405</v>
      </c>
      <c r="V1107" s="1"/>
    </row>
    <row r="1108" spans="21:22" x14ac:dyDescent="0.3">
      <c r="U1108" s="1" t="s">
        <v>1406</v>
      </c>
      <c r="V1108" s="1"/>
    </row>
    <row r="1109" spans="21:22" x14ac:dyDescent="0.3">
      <c r="U1109" s="1" t="s">
        <v>1407</v>
      </c>
      <c r="V1109" s="1"/>
    </row>
    <row r="1110" spans="21:22" x14ac:dyDescent="0.3">
      <c r="U1110" s="1" t="s">
        <v>1408</v>
      </c>
      <c r="V1110" s="1"/>
    </row>
    <row r="1111" spans="21:22" x14ac:dyDescent="0.3">
      <c r="U1111" s="1" t="s">
        <v>1409</v>
      </c>
      <c r="V1111" s="1"/>
    </row>
    <row r="1112" spans="21:22" x14ac:dyDescent="0.3">
      <c r="U1112" s="1" t="s">
        <v>1410</v>
      </c>
      <c r="V1112" s="1"/>
    </row>
    <row r="1113" spans="21:22" x14ac:dyDescent="0.3">
      <c r="U1113" s="1" t="s">
        <v>1411</v>
      </c>
      <c r="V1113" s="1"/>
    </row>
    <row r="1114" spans="21:22" x14ac:dyDescent="0.3">
      <c r="U1114" s="1" t="s">
        <v>1412</v>
      </c>
      <c r="V1114" s="1"/>
    </row>
    <row r="1115" spans="21:22" x14ac:dyDescent="0.3">
      <c r="U1115" s="1" t="s">
        <v>1413</v>
      </c>
      <c r="V1115" s="1"/>
    </row>
    <row r="1116" spans="21:22" x14ac:dyDescent="0.3">
      <c r="U1116" s="1" t="s">
        <v>1414</v>
      </c>
      <c r="V1116" s="1"/>
    </row>
    <row r="1117" spans="21:22" x14ac:dyDescent="0.3">
      <c r="U1117" s="1" t="s">
        <v>1415</v>
      </c>
      <c r="V1117" s="1"/>
    </row>
    <row r="1118" spans="21:22" x14ac:dyDescent="0.3">
      <c r="U1118" s="1" t="s">
        <v>1416</v>
      </c>
      <c r="V1118" s="1"/>
    </row>
    <row r="1119" spans="21:22" x14ac:dyDescent="0.3">
      <c r="U1119" s="1" t="s">
        <v>1417</v>
      </c>
      <c r="V1119" s="1"/>
    </row>
    <row r="1120" spans="21:22" x14ac:dyDescent="0.3">
      <c r="U1120" s="1" t="s">
        <v>1418</v>
      </c>
      <c r="V1120" s="1"/>
    </row>
    <row r="1121" spans="21:22" x14ac:dyDescent="0.3">
      <c r="U1121" s="1" t="s">
        <v>1419</v>
      </c>
      <c r="V1121" s="1"/>
    </row>
    <row r="1122" spans="21:22" x14ac:dyDescent="0.3">
      <c r="U1122" s="1" t="s">
        <v>1420</v>
      </c>
      <c r="V1122" s="1"/>
    </row>
    <row r="1123" spans="21:22" x14ac:dyDescent="0.3">
      <c r="U1123" s="1" t="s">
        <v>1421</v>
      </c>
      <c r="V1123" s="1"/>
    </row>
    <row r="1124" spans="21:22" x14ac:dyDescent="0.3">
      <c r="U1124" s="1" t="s">
        <v>1422</v>
      </c>
      <c r="V1124" s="1"/>
    </row>
    <row r="1125" spans="21:22" x14ac:dyDescent="0.3">
      <c r="U1125" s="1" t="s">
        <v>1423</v>
      </c>
      <c r="V1125" s="1"/>
    </row>
    <row r="1126" spans="21:22" x14ac:dyDescent="0.3">
      <c r="U1126" s="1" t="s">
        <v>1424</v>
      </c>
      <c r="V1126" s="1"/>
    </row>
    <row r="1127" spans="21:22" x14ac:dyDescent="0.3">
      <c r="U1127" s="1" t="s">
        <v>1425</v>
      </c>
      <c r="V1127" s="1"/>
    </row>
    <row r="1128" spans="21:22" x14ac:dyDescent="0.3">
      <c r="U1128" s="1" t="s">
        <v>1426</v>
      </c>
      <c r="V1128" s="1"/>
    </row>
    <row r="1129" spans="21:22" x14ac:dyDescent="0.3">
      <c r="U1129" s="1" t="s">
        <v>1427</v>
      </c>
      <c r="V1129" s="1"/>
    </row>
    <row r="1130" spans="21:22" x14ac:dyDescent="0.3">
      <c r="U1130" s="1" t="s">
        <v>1428</v>
      </c>
      <c r="V1130" s="1"/>
    </row>
    <row r="1131" spans="21:22" x14ac:dyDescent="0.3">
      <c r="U1131" s="1" t="s">
        <v>1429</v>
      </c>
      <c r="V1131" s="1"/>
    </row>
    <row r="1132" spans="21:22" x14ac:dyDescent="0.3">
      <c r="U1132" s="1" t="s">
        <v>1430</v>
      </c>
      <c r="V1132" s="1"/>
    </row>
    <row r="1133" spans="21:22" x14ac:dyDescent="0.3">
      <c r="U1133" s="1" t="s">
        <v>1431</v>
      </c>
      <c r="V1133" s="1"/>
    </row>
    <row r="1134" spans="21:22" x14ac:dyDescent="0.3">
      <c r="U1134" s="1" t="s">
        <v>1432</v>
      </c>
      <c r="V1134" s="1"/>
    </row>
    <row r="1135" spans="21:22" x14ac:dyDescent="0.3">
      <c r="U1135" s="1" t="s">
        <v>1433</v>
      </c>
      <c r="V1135" s="1"/>
    </row>
    <row r="1136" spans="21:22" x14ac:dyDescent="0.3">
      <c r="U1136" s="1" t="s">
        <v>1434</v>
      </c>
      <c r="V1136" s="1"/>
    </row>
    <row r="1137" spans="21:22" x14ac:dyDescent="0.3">
      <c r="U1137" s="1" t="s">
        <v>1435</v>
      </c>
      <c r="V1137" s="1"/>
    </row>
    <row r="1138" spans="21:22" x14ac:dyDescent="0.3">
      <c r="U1138" s="1" t="s">
        <v>1436</v>
      </c>
      <c r="V1138" s="1"/>
    </row>
    <row r="1139" spans="21:22" x14ac:dyDescent="0.3">
      <c r="U1139" s="1" t="s">
        <v>1437</v>
      </c>
      <c r="V1139" s="1"/>
    </row>
    <row r="1140" spans="21:22" x14ac:dyDescent="0.3">
      <c r="U1140" s="1" t="s">
        <v>1438</v>
      </c>
      <c r="V1140" s="1"/>
    </row>
    <row r="1141" spans="21:22" x14ac:dyDescent="0.3">
      <c r="U1141" s="1" t="s">
        <v>1439</v>
      </c>
      <c r="V1141" s="1"/>
    </row>
    <row r="1142" spans="21:22" x14ac:dyDescent="0.3">
      <c r="U1142" s="1" t="s">
        <v>1440</v>
      </c>
      <c r="V1142" s="1"/>
    </row>
    <row r="1143" spans="21:22" x14ac:dyDescent="0.3">
      <c r="U1143" s="1" t="s">
        <v>1441</v>
      </c>
      <c r="V1143" s="1"/>
    </row>
    <row r="1144" spans="21:22" x14ac:dyDescent="0.3">
      <c r="U1144" s="1" t="s">
        <v>1442</v>
      </c>
      <c r="V1144" s="1"/>
    </row>
    <row r="1145" spans="21:22" x14ac:dyDescent="0.3">
      <c r="U1145" s="1" t="s">
        <v>1443</v>
      </c>
      <c r="V1145" s="1"/>
    </row>
    <row r="1146" spans="21:22" x14ac:dyDescent="0.3">
      <c r="U1146" s="1" t="s">
        <v>1444</v>
      </c>
      <c r="V1146" s="1"/>
    </row>
    <row r="1147" spans="21:22" x14ac:dyDescent="0.3">
      <c r="U1147" s="1" t="s">
        <v>1445</v>
      </c>
      <c r="V1147" s="1"/>
    </row>
    <row r="1148" spans="21:22" x14ac:dyDescent="0.3">
      <c r="U1148" s="1" t="s">
        <v>1446</v>
      </c>
      <c r="V1148" s="1"/>
    </row>
    <row r="1149" spans="21:22" x14ac:dyDescent="0.3">
      <c r="U1149" s="1" t="s">
        <v>1447</v>
      </c>
      <c r="V1149" s="1"/>
    </row>
    <row r="1150" spans="21:22" x14ac:dyDescent="0.3">
      <c r="U1150" s="1" t="s">
        <v>1448</v>
      </c>
      <c r="V1150" s="1"/>
    </row>
    <row r="1151" spans="21:22" x14ac:dyDescent="0.3">
      <c r="U1151" s="1" t="s">
        <v>1449</v>
      </c>
      <c r="V1151" s="1"/>
    </row>
    <row r="1152" spans="21:22" x14ac:dyDescent="0.3">
      <c r="U1152" s="1" t="s">
        <v>1450</v>
      </c>
      <c r="V1152" s="1"/>
    </row>
    <row r="1153" spans="21:22" x14ac:dyDescent="0.3">
      <c r="U1153" s="1" t="s">
        <v>1451</v>
      </c>
      <c r="V1153" s="1"/>
    </row>
    <row r="1154" spans="21:22" x14ac:dyDescent="0.3">
      <c r="U1154" s="1" t="s">
        <v>1452</v>
      </c>
      <c r="V1154" s="1"/>
    </row>
    <row r="1155" spans="21:22" x14ac:dyDescent="0.3">
      <c r="U1155" s="1" t="s">
        <v>1453</v>
      </c>
      <c r="V1155" s="1"/>
    </row>
    <row r="1156" spans="21:22" x14ac:dyDescent="0.3">
      <c r="U1156" s="1" t="s">
        <v>1454</v>
      </c>
      <c r="V1156" s="1"/>
    </row>
    <row r="1157" spans="21:22" x14ac:dyDescent="0.3">
      <c r="U1157" s="1" t="s">
        <v>1455</v>
      </c>
      <c r="V1157" s="1"/>
    </row>
    <row r="1158" spans="21:22" x14ac:dyDescent="0.3">
      <c r="U1158" s="1" t="s">
        <v>1456</v>
      </c>
      <c r="V1158" s="1"/>
    </row>
    <row r="1159" spans="21:22" x14ac:dyDescent="0.3">
      <c r="U1159" s="1" t="s">
        <v>1457</v>
      </c>
      <c r="V1159" s="1"/>
    </row>
    <row r="1160" spans="21:22" x14ac:dyDescent="0.3">
      <c r="U1160" s="1" t="s">
        <v>1458</v>
      </c>
      <c r="V1160" s="1"/>
    </row>
    <row r="1161" spans="21:22" x14ac:dyDescent="0.3">
      <c r="U1161" s="1" t="s">
        <v>1459</v>
      </c>
      <c r="V1161" s="1"/>
    </row>
    <row r="1162" spans="21:22" x14ac:dyDescent="0.3">
      <c r="U1162" s="1" t="s">
        <v>1460</v>
      </c>
      <c r="V1162" s="1"/>
    </row>
    <row r="1163" spans="21:22" x14ac:dyDescent="0.3">
      <c r="U1163" s="1" t="s">
        <v>1461</v>
      </c>
      <c r="V1163" s="1"/>
    </row>
    <row r="1164" spans="21:22" x14ac:dyDescent="0.3">
      <c r="U1164" s="1" t="s">
        <v>1462</v>
      </c>
      <c r="V1164" s="1"/>
    </row>
    <row r="1165" spans="21:22" x14ac:dyDescent="0.3">
      <c r="U1165" s="1" t="s">
        <v>1463</v>
      </c>
      <c r="V1165" s="1"/>
    </row>
    <row r="1166" spans="21:22" x14ac:dyDescent="0.3">
      <c r="U1166" s="1" t="s">
        <v>1464</v>
      </c>
      <c r="V1166" s="1"/>
    </row>
    <row r="1167" spans="21:22" x14ac:dyDescent="0.3">
      <c r="U1167" s="1" t="s">
        <v>1465</v>
      </c>
      <c r="V1167" s="1"/>
    </row>
    <row r="1168" spans="21:22" x14ac:dyDescent="0.3">
      <c r="U1168" s="1" t="s">
        <v>1466</v>
      </c>
      <c r="V1168" s="1"/>
    </row>
    <row r="1169" spans="21:22" x14ac:dyDescent="0.3">
      <c r="U1169" s="1" t="s">
        <v>1467</v>
      </c>
      <c r="V1169" s="1"/>
    </row>
    <row r="1170" spans="21:22" x14ac:dyDescent="0.3">
      <c r="U1170" s="1" t="s">
        <v>1468</v>
      </c>
      <c r="V1170" s="1"/>
    </row>
    <row r="1171" spans="21:22" x14ac:dyDescent="0.3">
      <c r="U1171" s="1" t="s">
        <v>1469</v>
      </c>
      <c r="V1171" s="1"/>
    </row>
    <row r="1172" spans="21:22" x14ac:dyDescent="0.3">
      <c r="U1172" s="1" t="s">
        <v>1470</v>
      </c>
      <c r="V1172" s="1"/>
    </row>
    <row r="1173" spans="21:22" x14ac:dyDescent="0.3">
      <c r="U1173" s="1" t="s">
        <v>1471</v>
      </c>
      <c r="V1173" s="1"/>
    </row>
    <row r="1174" spans="21:22" x14ac:dyDescent="0.3">
      <c r="U1174" s="1" t="s">
        <v>1472</v>
      </c>
      <c r="V1174" s="1"/>
    </row>
    <row r="1175" spans="21:22" x14ac:dyDescent="0.3">
      <c r="U1175" s="1" t="s">
        <v>1473</v>
      </c>
      <c r="V1175" s="1"/>
    </row>
    <row r="1176" spans="21:22" x14ac:dyDescent="0.3">
      <c r="U1176" s="1" t="s">
        <v>1474</v>
      </c>
      <c r="V1176" s="1"/>
    </row>
    <row r="1177" spans="21:22" x14ac:dyDescent="0.3">
      <c r="U1177" s="1" t="s">
        <v>1475</v>
      </c>
      <c r="V1177" s="1"/>
    </row>
    <row r="1178" spans="21:22" x14ac:dyDescent="0.3">
      <c r="U1178" s="1" t="s">
        <v>1476</v>
      </c>
      <c r="V1178" s="1"/>
    </row>
    <row r="1179" spans="21:22" x14ac:dyDescent="0.3">
      <c r="U1179" s="1" t="s">
        <v>1477</v>
      </c>
      <c r="V1179" s="1"/>
    </row>
    <row r="1180" spans="21:22" x14ac:dyDescent="0.3">
      <c r="U1180" s="1" t="s">
        <v>1478</v>
      </c>
      <c r="V1180" s="1"/>
    </row>
    <row r="1181" spans="21:22" x14ac:dyDescent="0.3">
      <c r="U1181" s="1" t="s">
        <v>1479</v>
      </c>
      <c r="V1181" s="1"/>
    </row>
    <row r="1182" spans="21:22" x14ac:dyDescent="0.3">
      <c r="U1182" s="1" t="s">
        <v>1480</v>
      </c>
      <c r="V1182" s="1"/>
    </row>
    <row r="1183" spans="21:22" x14ac:dyDescent="0.3">
      <c r="U1183" s="1" t="s">
        <v>1481</v>
      </c>
      <c r="V1183" s="1"/>
    </row>
    <row r="1184" spans="21:22" x14ac:dyDescent="0.3">
      <c r="U1184" s="1" t="s">
        <v>1482</v>
      </c>
      <c r="V1184" s="1"/>
    </row>
    <row r="1185" spans="21:22" x14ac:dyDescent="0.3">
      <c r="U1185" s="1" t="s">
        <v>1483</v>
      </c>
      <c r="V1185" s="1"/>
    </row>
    <row r="1186" spans="21:22" x14ac:dyDescent="0.3">
      <c r="U1186" s="1" t="s">
        <v>1484</v>
      </c>
      <c r="V1186" s="1"/>
    </row>
    <row r="1187" spans="21:22" x14ac:dyDescent="0.3">
      <c r="U1187" s="1" t="s">
        <v>1485</v>
      </c>
      <c r="V1187" s="1"/>
    </row>
    <row r="1188" spans="21:22" x14ac:dyDescent="0.3">
      <c r="U1188" s="1" t="s">
        <v>1486</v>
      </c>
      <c r="V1188" s="1"/>
    </row>
    <row r="1189" spans="21:22" x14ac:dyDescent="0.3">
      <c r="U1189" s="1" t="s">
        <v>1487</v>
      </c>
      <c r="V1189" s="1"/>
    </row>
    <row r="1190" spans="21:22" x14ac:dyDescent="0.3">
      <c r="U1190" s="1" t="s">
        <v>1488</v>
      </c>
      <c r="V1190" s="1"/>
    </row>
    <row r="1191" spans="21:22" x14ac:dyDescent="0.3">
      <c r="U1191" s="1" t="s">
        <v>1489</v>
      </c>
      <c r="V1191" s="1"/>
    </row>
    <row r="1192" spans="21:22" x14ac:dyDescent="0.3">
      <c r="U1192" s="1" t="s">
        <v>1490</v>
      </c>
      <c r="V1192" s="1"/>
    </row>
    <row r="1193" spans="21:22" x14ac:dyDescent="0.3">
      <c r="U1193" s="1" t="s">
        <v>1491</v>
      </c>
      <c r="V1193" s="1"/>
    </row>
    <row r="1194" spans="21:22" x14ac:dyDescent="0.3">
      <c r="U1194" s="1" t="s">
        <v>1492</v>
      </c>
      <c r="V1194" s="1"/>
    </row>
    <row r="1195" spans="21:22" x14ac:dyDescent="0.3">
      <c r="U1195" s="1" t="s">
        <v>1493</v>
      </c>
      <c r="V1195" s="1"/>
    </row>
    <row r="1196" spans="21:22" x14ac:dyDescent="0.3">
      <c r="U1196" s="1" t="s">
        <v>1494</v>
      </c>
      <c r="V1196" s="1"/>
    </row>
    <row r="1197" spans="21:22" x14ac:dyDescent="0.3">
      <c r="U1197" s="1" t="s">
        <v>1495</v>
      </c>
      <c r="V1197" s="1"/>
    </row>
    <row r="1198" spans="21:22" x14ac:dyDescent="0.3">
      <c r="U1198" s="1" t="s">
        <v>1496</v>
      </c>
      <c r="V1198" s="1"/>
    </row>
    <row r="1199" spans="21:22" x14ac:dyDescent="0.3">
      <c r="U1199" s="1" t="s">
        <v>1497</v>
      </c>
      <c r="V1199" s="1"/>
    </row>
    <row r="1200" spans="21:22" x14ac:dyDescent="0.3">
      <c r="U1200" s="1" t="s">
        <v>1498</v>
      </c>
      <c r="V1200" s="1"/>
    </row>
    <row r="1201" spans="21:22" x14ac:dyDescent="0.3">
      <c r="U1201" s="1" t="s">
        <v>1499</v>
      </c>
      <c r="V1201" s="1"/>
    </row>
    <row r="1202" spans="21:22" x14ac:dyDescent="0.3">
      <c r="U1202" s="1" t="s">
        <v>1500</v>
      </c>
      <c r="V1202" s="1"/>
    </row>
    <row r="1203" spans="21:22" x14ac:dyDescent="0.3">
      <c r="U1203" s="1" t="s">
        <v>1501</v>
      </c>
      <c r="V1203" s="1"/>
    </row>
    <row r="1204" spans="21:22" x14ac:dyDescent="0.3">
      <c r="U1204" s="1" t="s">
        <v>1502</v>
      </c>
      <c r="V1204" s="1"/>
    </row>
    <row r="1205" spans="21:22" x14ac:dyDescent="0.3">
      <c r="U1205" s="1" t="s">
        <v>1503</v>
      </c>
      <c r="V1205" s="1"/>
    </row>
    <row r="1206" spans="21:22" x14ac:dyDescent="0.3">
      <c r="U1206" s="1" t="s">
        <v>1504</v>
      </c>
      <c r="V1206" s="1"/>
    </row>
    <row r="1207" spans="21:22" x14ac:dyDescent="0.3">
      <c r="U1207" s="1" t="s">
        <v>1505</v>
      </c>
      <c r="V1207" s="1"/>
    </row>
    <row r="1208" spans="21:22" x14ac:dyDescent="0.3">
      <c r="U1208" s="1" t="s">
        <v>1506</v>
      </c>
      <c r="V1208" s="1"/>
    </row>
    <row r="1209" spans="21:22" x14ac:dyDescent="0.3">
      <c r="U1209" s="1" t="s">
        <v>1507</v>
      </c>
      <c r="V1209" s="1"/>
    </row>
    <row r="1210" spans="21:22" x14ac:dyDescent="0.3">
      <c r="U1210" s="1" t="s">
        <v>1508</v>
      </c>
      <c r="V1210" s="1"/>
    </row>
    <row r="1211" spans="21:22" x14ac:dyDescent="0.3">
      <c r="U1211" s="1" t="s">
        <v>1509</v>
      </c>
      <c r="V1211" s="1"/>
    </row>
    <row r="1212" spans="21:22" x14ac:dyDescent="0.3">
      <c r="U1212" s="1" t="s">
        <v>1510</v>
      </c>
      <c r="V1212" s="1"/>
    </row>
    <row r="1213" spans="21:22" x14ac:dyDescent="0.3">
      <c r="U1213" s="1" t="s">
        <v>1511</v>
      </c>
      <c r="V1213" s="1"/>
    </row>
    <row r="1214" spans="21:22" x14ac:dyDescent="0.3">
      <c r="U1214" s="1" t="s">
        <v>1512</v>
      </c>
      <c r="V1214" s="1"/>
    </row>
    <row r="1215" spans="21:22" x14ac:dyDescent="0.3">
      <c r="U1215" s="1" t="s">
        <v>1513</v>
      </c>
      <c r="V1215" s="1"/>
    </row>
    <row r="1216" spans="21:22" x14ac:dyDescent="0.3">
      <c r="U1216" s="1" t="s">
        <v>1514</v>
      </c>
      <c r="V1216" s="1"/>
    </row>
    <row r="1217" spans="21:22" x14ac:dyDescent="0.3">
      <c r="U1217" s="1" t="s">
        <v>1515</v>
      </c>
      <c r="V1217" s="1"/>
    </row>
    <row r="1218" spans="21:22" x14ac:dyDescent="0.3">
      <c r="U1218" s="1" t="s">
        <v>1516</v>
      </c>
      <c r="V1218" s="1"/>
    </row>
    <row r="1219" spans="21:22" x14ac:dyDescent="0.3">
      <c r="U1219" s="1" t="s">
        <v>1517</v>
      </c>
      <c r="V1219" s="1"/>
    </row>
    <row r="1220" spans="21:22" x14ac:dyDescent="0.3">
      <c r="U1220" s="1" t="s">
        <v>1518</v>
      </c>
      <c r="V1220" s="1"/>
    </row>
    <row r="1221" spans="21:22" x14ac:dyDescent="0.3">
      <c r="U1221" s="1" t="s">
        <v>1519</v>
      </c>
      <c r="V1221" s="1"/>
    </row>
    <row r="1222" spans="21:22" x14ac:dyDescent="0.3">
      <c r="U1222" s="1" t="s">
        <v>1520</v>
      </c>
      <c r="V1222" s="1"/>
    </row>
    <row r="1223" spans="21:22" x14ac:dyDescent="0.3">
      <c r="U1223" s="1" t="s">
        <v>1521</v>
      </c>
      <c r="V1223" s="1"/>
    </row>
    <row r="1224" spans="21:22" x14ac:dyDescent="0.3">
      <c r="U1224" s="1" t="s">
        <v>1522</v>
      </c>
      <c r="V1224" s="1"/>
    </row>
    <row r="1225" spans="21:22" x14ac:dyDescent="0.3">
      <c r="U1225" s="1" t="s">
        <v>1523</v>
      </c>
      <c r="V1225" s="1"/>
    </row>
    <row r="1226" spans="21:22" x14ac:dyDescent="0.3">
      <c r="U1226" s="1" t="s">
        <v>1524</v>
      </c>
      <c r="V1226" s="1"/>
    </row>
    <row r="1227" spans="21:22" x14ac:dyDescent="0.3">
      <c r="U1227" s="1" t="s">
        <v>1525</v>
      </c>
      <c r="V1227" s="1"/>
    </row>
    <row r="1228" spans="21:22" x14ac:dyDescent="0.3">
      <c r="U1228" s="1" t="s">
        <v>1526</v>
      </c>
      <c r="V1228" s="1"/>
    </row>
    <row r="1229" spans="21:22" x14ac:dyDescent="0.3">
      <c r="U1229" s="1" t="s">
        <v>1527</v>
      </c>
      <c r="V1229" s="1"/>
    </row>
    <row r="1230" spans="21:22" x14ac:dyDescent="0.3">
      <c r="U1230" s="1" t="s">
        <v>1528</v>
      </c>
      <c r="V1230" s="1"/>
    </row>
    <row r="1231" spans="21:22" x14ac:dyDescent="0.3">
      <c r="U1231" s="1" t="s">
        <v>1529</v>
      </c>
      <c r="V1231" s="1"/>
    </row>
    <row r="1232" spans="21:22" x14ac:dyDescent="0.3">
      <c r="U1232" s="1" t="s">
        <v>1530</v>
      </c>
      <c r="V1232" s="1"/>
    </row>
    <row r="1233" spans="21:22" x14ac:dyDescent="0.3">
      <c r="U1233" s="1" t="s">
        <v>1531</v>
      </c>
      <c r="V1233" s="1"/>
    </row>
    <row r="1234" spans="21:22" x14ac:dyDescent="0.3">
      <c r="U1234" s="1" t="s">
        <v>1532</v>
      </c>
      <c r="V1234" s="1"/>
    </row>
    <row r="1235" spans="21:22" x14ac:dyDescent="0.3">
      <c r="U1235" s="1" t="s">
        <v>1533</v>
      </c>
      <c r="V1235" s="1"/>
    </row>
    <row r="1236" spans="21:22" x14ac:dyDescent="0.3">
      <c r="U1236" s="1" t="s">
        <v>1534</v>
      </c>
      <c r="V1236" s="1"/>
    </row>
    <row r="1237" spans="21:22" x14ac:dyDescent="0.3">
      <c r="U1237" s="1" t="s">
        <v>1535</v>
      </c>
      <c r="V1237" s="1"/>
    </row>
    <row r="1238" spans="21:22" x14ac:dyDescent="0.3">
      <c r="U1238" s="1" t="s">
        <v>1536</v>
      </c>
      <c r="V1238" s="1"/>
    </row>
    <row r="1239" spans="21:22" x14ac:dyDescent="0.3">
      <c r="U1239" s="1" t="s">
        <v>1537</v>
      </c>
      <c r="V1239" s="1"/>
    </row>
    <row r="1240" spans="21:22" x14ac:dyDescent="0.3">
      <c r="U1240" s="1" t="s">
        <v>1538</v>
      </c>
      <c r="V1240" s="1"/>
    </row>
    <row r="1241" spans="21:22" x14ac:dyDescent="0.3">
      <c r="U1241" s="1" t="s">
        <v>1539</v>
      </c>
      <c r="V1241" s="1"/>
    </row>
    <row r="1242" spans="21:22" x14ac:dyDescent="0.3">
      <c r="U1242" s="1" t="s">
        <v>1540</v>
      </c>
      <c r="V1242" s="1"/>
    </row>
    <row r="1243" spans="21:22" x14ac:dyDescent="0.3">
      <c r="U1243" s="1" t="s">
        <v>1541</v>
      </c>
      <c r="V1243" s="1"/>
    </row>
    <row r="1244" spans="21:22" x14ac:dyDescent="0.3">
      <c r="U1244" s="1" t="s">
        <v>1542</v>
      </c>
      <c r="V1244" s="1"/>
    </row>
    <row r="1245" spans="21:22" x14ac:dyDescent="0.3">
      <c r="U1245" s="1" t="s">
        <v>1543</v>
      </c>
      <c r="V1245" s="1"/>
    </row>
    <row r="1246" spans="21:22" x14ac:dyDescent="0.3">
      <c r="U1246" s="1" t="s">
        <v>1544</v>
      </c>
      <c r="V1246" s="1"/>
    </row>
    <row r="1247" spans="21:22" x14ac:dyDescent="0.3">
      <c r="U1247" s="1" t="s">
        <v>1545</v>
      </c>
      <c r="V1247" s="1"/>
    </row>
    <row r="1248" spans="21:22" x14ac:dyDescent="0.3">
      <c r="U1248" s="1" t="s">
        <v>1546</v>
      </c>
      <c r="V1248" s="1"/>
    </row>
    <row r="1249" spans="21:22" x14ac:dyDescent="0.3">
      <c r="U1249" s="1" t="s">
        <v>1547</v>
      </c>
      <c r="V1249" s="1"/>
    </row>
    <row r="1250" spans="21:22" x14ac:dyDescent="0.3">
      <c r="U1250" s="1" t="s">
        <v>1548</v>
      </c>
      <c r="V1250" s="1"/>
    </row>
    <row r="1251" spans="21:22" x14ac:dyDescent="0.3">
      <c r="U1251" s="1" t="s">
        <v>1549</v>
      </c>
      <c r="V1251" s="1"/>
    </row>
    <row r="1252" spans="21:22" x14ac:dyDescent="0.3">
      <c r="U1252" s="1" t="s">
        <v>1550</v>
      </c>
      <c r="V1252" s="1"/>
    </row>
    <row r="1253" spans="21:22" x14ac:dyDescent="0.3">
      <c r="U1253" s="1" t="s">
        <v>1551</v>
      </c>
      <c r="V1253" s="1"/>
    </row>
    <row r="1254" spans="21:22" x14ac:dyDescent="0.3">
      <c r="U1254" s="1" t="s">
        <v>1552</v>
      </c>
      <c r="V1254" s="1"/>
    </row>
    <row r="1255" spans="21:22" x14ac:dyDescent="0.3">
      <c r="U1255" s="1" t="s">
        <v>1553</v>
      </c>
      <c r="V1255" s="1"/>
    </row>
    <row r="1256" spans="21:22" x14ac:dyDescent="0.3">
      <c r="U1256" s="1" t="s">
        <v>1554</v>
      </c>
      <c r="V1256" s="1"/>
    </row>
    <row r="1257" spans="21:22" x14ac:dyDescent="0.3">
      <c r="U1257" s="1" t="s">
        <v>1555</v>
      </c>
      <c r="V1257" s="1"/>
    </row>
    <row r="1258" spans="21:22" x14ac:dyDescent="0.3">
      <c r="U1258" s="1" t="s">
        <v>1556</v>
      </c>
      <c r="V1258" s="1"/>
    </row>
    <row r="1259" spans="21:22" x14ac:dyDescent="0.3">
      <c r="U1259" s="1" t="s">
        <v>1557</v>
      </c>
      <c r="V1259" s="1"/>
    </row>
    <row r="1260" spans="21:22" x14ac:dyDescent="0.3">
      <c r="U1260" s="1" t="s">
        <v>1558</v>
      </c>
      <c r="V1260" s="1"/>
    </row>
    <row r="1261" spans="21:22" x14ac:dyDescent="0.3">
      <c r="U1261" s="1" t="s">
        <v>1559</v>
      </c>
      <c r="V1261" s="1"/>
    </row>
    <row r="1262" spans="21:22" x14ac:dyDescent="0.3">
      <c r="U1262" s="1" t="s">
        <v>1560</v>
      </c>
      <c r="V1262" s="1"/>
    </row>
    <row r="1263" spans="21:22" x14ac:dyDescent="0.3">
      <c r="U1263" s="1" t="s">
        <v>1561</v>
      </c>
      <c r="V1263" s="1"/>
    </row>
    <row r="1264" spans="21:22" x14ac:dyDescent="0.3">
      <c r="U1264" s="1" t="s">
        <v>1562</v>
      </c>
      <c r="V1264" s="1"/>
    </row>
    <row r="1265" spans="21:22" x14ac:dyDescent="0.3">
      <c r="U1265" s="1" t="s">
        <v>1563</v>
      </c>
      <c r="V1265" s="1"/>
    </row>
    <row r="1266" spans="21:22" x14ac:dyDescent="0.3">
      <c r="U1266" s="1" t="s">
        <v>1564</v>
      </c>
      <c r="V1266" s="1"/>
    </row>
    <row r="1267" spans="21:22" x14ac:dyDescent="0.3">
      <c r="U1267" s="1" t="s">
        <v>1565</v>
      </c>
      <c r="V1267" s="1"/>
    </row>
    <row r="1268" spans="21:22" x14ac:dyDescent="0.3">
      <c r="U1268" s="1" t="s">
        <v>1566</v>
      </c>
      <c r="V1268" s="1"/>
    </row>
    <row r="1269" spans="21:22" x14ac:dyDescent="0.3">
      <c r="U1269" s="1" t="s">
        <v>1567</v>
      </c>
      <c r="V1269" s="1"/>
    </row>
    <row r="1270" spans="21:22" x14ac:dyDescent="0.3">
      <c r="U1270" s="1" t="s">
        <v>1568</v>
      </c>
      <c r="V1270" s="1"/>
    </row>
    <row r="1271" spans="21:22" x14ac:dyDescent="0.3">
      <c r="U1271" s="1" t="s">
        <v>1569</v>
      </c>
      <c r="V1271" s="1"/>
    </row>
    <row r="1272" spans="21:22" x14ac:dyDescent="0.3">
      <c r="U1272" s="1" t="s">
        <v>1570</v>
      </c>
      <c r="V1272" s="1"/>
    </row>
    <row r="1273" spans="21:22" x14ac:dyDescent="0.3">
      <c r="U1273" s="1" t="s">
        <v>1571</v>
      </c>
      <c r="V1273" s="1"/>
    </row>
    <row r="1274" spans="21:22" x14ac:dyDescent="0.3">
      <c r="U1274" s="1" t="s">
        <v>1572</v>
      </c>
      <c r="V1274" s="1"/>
    </row>
    <row r="1275" spans="21:22" x14ac:dyDescent="0.3">
      <c r="U1275" s="1" t="s">
        <v>1573</v>
      </c>
      <c r="V1275" s="1"/>
    </row>
    <row r="1276" spans="21:22" x14ac:dyDescent="0.3">
      <c r="U1276" s="1" t="s">
        <v>1574</v>
      </c>
      <c r="V1276" s="1"/>
    </row>
    <row r="1277" spans="21:22" x14ac:dyDescent="0.3">
      <c r="U1277" s="1" t="s">
        <v>1575</v>
      </c>
      <c r="V1277" s="1"/>
    </row>
    <row r="1278" spans="21:22" x14ac:dyDescent="0.3">
      <c r="U1278" s="1" t="s">
        <v>1576</v>
      </c>
      <c r="V1278" s="1"/>
    </row>
    <row r="1279" spans="21:22" x14ac:dyDescent="0.3">
      <c r="U1279" s="1" t="s">
        <v>1577</v>
      </c>
      <c r="V1279" s="1"/>
    </row>
    <row r="1280" spans="21:22" x14ac:dyDescent="0.3">
      <c r="U1280" s="1" t="s">
        <v>1578</v>
      </c>
      <c r="V1280" s="1"/>
    </row>
    <row r="1281" spans="21:22" x14ac:dyDescent="0.3">
      <c r="U1281" s="1" t="s">
        <v>1579</v>
      </c>
      <c r="V1281" s="1"/>
    </row>
    <row r="1282" spans="21:22" x14ac:dyDescent="0.3">
      <c r="U1282" s="1" t="s">
        <v>1580</v>
      </c>
      <c r="V1282" s="1"/>
    </row>
    <row r="1283" spans="21:22" x14ac:dyDescent="0.3">
      <c r="U1283" s="1" t="s">
        <v>1581</v>
      </c>
      <c r="V1283" s="1"/>
    </row>
    <row r="1284" spans="21:22" x14ac:dyDescent="0.3">
      <c r="U1284" s="1" t="s">
        <v>1582</v>
      </c>
      <c r="V1284" s="1"/>
    </row>
    <row r="1285" spans="21:22" x14ac:dyDescent="0.3">
      <c r="U1285" s="1" t="s">
        <v>1583</v>
      </c>
      <c r="V1285" s="1"/>
    </row>
    <row r="1286" spans="21:22" x14ac:dyDescent="0.3">
      <c r="U1286" s="1" t="s">
        <v>1584</v>
      </c>
      <c r="V1286" s="1"/>
    </row>
    <row r="1287" spans="21:22" x14ac:dyDescent="0.3">
      <c r="U1287" s="1" t="s">
        <v>1585</v>
      </c>
      <c r="V1287" s="1"/>
    </row>
    <row r="1288" spans="21:22" x14ac:dyDescent="0.3">
      <c r="U1288" s="1" t="s">
        <v>1586</v>
      </c>
      <c r="V1288" s="1"/>
    </row>
    <row r="1289" spans="21:22" x14ac:dyDescent="0.3">
      <c r="U1289" s="1" t="s">
        <v>1587</v>
      </c>
      <c r="V1289" s="1"/>
    </row>
    <row r="1290" spans="21:22" x14ac:dyDescent="0.3">
      <c r="U1290" s="1" t="s">
        <v>1588</v>
      </c>
      <c r="V1290" s="1"/>
    </row>
    <row r="1291" spans="21:22" x14ac:dyDescent="0.3">
      <c r="U1291" s="1" t="s">
        <v>1589</v>
      </c>
      <c r="V1291" s="1"/>
    </row>
    <row r="1292" spans="21:22" x14ac:dyDescent="0.3">
      <c r="U1292" s="1" t="s">
        <v>1590</v>
      </c>
      <c r="V1292" s="1"/>
    </row>
    <row r="1293" spans="21:22" x14ac:dyDescent="0.3">
      <c r="U1293" s="1" t="s">
        <v>1591</v>
      </c>
      <c r="V1293" s="1"/>
    </row>
    <row r="1294" spans="21:22" x14ac:dyDescent="0.3">
      <c r="U1294" s="1" t="s">
        <v>1592</v>
      </c>
      <c r="V1294" s="1"/>
    </row>
    <row r="1295" spans="21:22" x14ac:dyDescent="0.3">
      <c r="U1295" s="1" t="s">
        <v>1593</v>
      </c>
      <c r="V1295" s="1"/>
    </row>
    <row r="1296" spans="21:22" x14ac:dyDescent="0.3">
      <c r="U1296" s="1" t="s">
        <v>1594</v>
      </c>
      <c r="V1296" s="1"/>
    </row>
    <row r="1297" spans="21:22" x14ac:dyDescent="0.3">
      <c r="U1297" s="1" t="s">
        <v>1595</v>
      </c>
      <c r="V1297" s="1"/>
    </row>
    <row r="1298" spans="21:22" x14ac:dyDescent="0.3">
      <c r="U1298" s="1" t="s">
        <v>1596</v>
      </c>
      <c r="V1298" s="1"/>
    </row>
    <row r="1299" spans="21:22" x14ac:dyDescent="0.3">
      <c r="U1299" s="1" t="s">
        <v>1597</v>
      </c>
      <c r="V1299" s="1"/>
    </row>
    <row r="1300" spans="21:22" x14ac:dyDescent="0.3">
      <c r="U1300" s="1" t="s">
        <v>1598</v>
      </c>
      <c r="V1300" s="1"/>
    </row>
    <row r="1301" spans="21:22" x14ac:dyDescent="0.3">
      <c r="U1301" s="1" t="s">
        <v>1599</v>
      </c>
      <c r="V1301" s="1"/>
    </row>
    <row r="1302" spans="21:22" x14ac:dyDescent="0.3">
      <c r="U1302" s="1" t="s">
        <v>1600</v>
      </c>
      <c r="V1302" s="1"/>
    </row>
    <row r="1303" spans="21:22" x14ac:dyDescent="0.3">
      <c r="U1303" s="1" t="s">
        <v>1601</v>
      </c>
      <c r="V1303" s="1"/>
    </row>
    <row r="1304" spans="21:22" x14ac:dyDescent="0.3">
      <c r="U1304" s="1" t="s">
        <v>1602</v>
      </c>
      <c r="V1304" s="1"/>
    </row>
    <row r="1305" spans="21:22" x14ac:dyDescent="0.3">
      <c r="U1305" s="1" t="s">
        <v>1603</v>
      </c>
      <c r="V1305" s="1"/>
    </row>
    <row r="1306" spans="21:22" x14ac:dyDescent="0.3">
      <c r="U1306" s="1" t="s">
        <v>1604</v>
      </c>
      <c r="V1306" s="1"/>
    </row>
    <row r="1307" spans="21:22" x14ac:dyDescent="0.3">
      <c r="U1307" s="1" t="s">
        <v>1605</v>
      </c>
      <c r="V1307" s="1"/>
    </row>
    <row r="1308" spans="21:22" x14ac:dyDescent="0.3">
      <c r="U1308" s="1" t="s">
        <v>1606</v>
      </c>
      <c r="V1308" s="1"/>
    </row>
    <row r="1309" spans="21:22" x14ac:dyDescent="0.3">
      <c r="U1309" s="1" t="s">
        <v>1607</v>
      </c>
      <c r="V1309" s="1"/>
    </row>
    <row r="1310" spans="21:22" x14ac:dyDescent="0.3">
      <c r="U1310" s="1" t="s">
        <v>1608</v>
      </c>
      <c r="V1310" s="1"/>
    </row>
    <row r="1311" spans="21:22" x14ac:dyDescent="0.3">
      <c r="U1311" s="1" t="s">
        <v>1609</v>
      </c>
      <c r="V1311" s="1"/>
    </row>
    <row r="1312" spans="21:22" x14ac:dyDescent="0.3">
      <c r="U1312" s="1" t="s">
        <v>1610</v>
      </c>
      <c r="V1312" s="1"/>
    </row>
    <row r="1313" spans="21:22" x14ac:dyDescent="0.3">
      <c r="U1313" s="1" t="s">
        <v>1611</v>
      </c>
      <c r="V1313" s="1"/>
    </row>
    <row r="1314" spans="21:22" x14ac:dyDescent="0.3">
      <c r="U1314" t="s">
        <v>1612</v>
      </c>
    </row>
    <row r="1315" spans="21:22" x14ac:dyDescent="0.3">
      <c r="U1315" t="s">
        <v>1613</v>
      </c>
    </row>
    <row r="1316" spans="21:22" x14ac:dyDescent="0.3">
      <c r="U1316" t="s">
        <v>1614</v>
      </c>
    </row>
    <row r="1317" spans="21:22" x14ac:dyDescent="0.3">
      <c r="U1317" t="s">
        <v>1615</v>
      </c>
    </row>
    <row r="1318" spans="21:22" x14ac:dyDescent="0.3">
      <c r="U1318" t="s">
        <v>1616</v>
      </c>
    </row>
    <row r="1319" spans="21:22" x14ac:dyDescent="0.3">
      <c r="U1319" t="s">
        <v>1617</v>
      </c>
    </row>
    <row r="1320" spans="21:22" x14ac:dyDescent="0.3">
      <c r="U1320" t="s">
        <v>1618</v>
      </c>
    </row>
    <row r="1321" spans="21:22" x14ac:dyDescent="0.3">
      <c r="U1321" t="s">
        <v>1619</v>
      </c>
    </row>
    <row r="1322" spans="21:22" x14ac:dyDescent="0.3">
      <c r="U1322" t="s">
        <v>1620</v>
      </c>
    </row>
    <row r="1323" spans="21:22" x14ac:dyDescent="0.3">
      <c r="U1323" t="s">
        <v>1621</v>
      </c>
    </row>
    <row r="1324" spans="21:22" x14ac:dyDescent="0.3">
      <c r="U1324" t="s">
        <v>1622</v>
      </c>
    </row>
    <row r="1325" spans="21:22" x14ac:dyDescent="0.3">
      <c r="U1325" t="s">
        <v>1623</v>
      </c>
    </row>
    <row r="1326" spans="21:22" x14ac:dyDescent="0.3">
      <c r="U1326" t="s">
        <v>1624</v>
      </c>
    </row>
    <row r="1327" spans="21:22" x14ac:dyDescent="0.3">
      <c r="U1327" t="s">
        <v>1625</v>
      </c>
    </row>
    <row r="1328" spans="21:22" x14ac:dyDescent="0.3">
      <c r="U1328" t="s">
        <v>1626</v>
      </c>
    </row>
    <row r="1329" spans="21:21" x14ac:dyDescent="0.3">
      <c r="U1329" t="s">
        <v>1627</v>
      </c>
    </row>
    <row r="1330" spans="21:21" x14ac:dyDescent="0.3">
      <c r="U1330" t="s">
        <v>1628</v>
      </c>
    </row>
    <row r="1331" spans="21:21" x14ac:dyDescent="0.3">
      <c r="U1331" t="s">
        <v>1629</v>
      </c>
    </row>
    <row r="1332" spans="21:21" x14ac:dyDescent="0.3">
      <c r="U1332" t="s">
        <v>1630</v>
      </c>
    </row>
    <row r="1333" spans="21:21" x14ac:dyDescent="0.3">
      <c r="U1333" t="s">
        <v>1631</v>
      </c>
    </row>
    <row r="1334" spans="21:21" x14ac:dyDescent="0.3">
      <c r="U1334" t="s">
        <v>1632</v>
      </c>
    </row>
    <row r="1335" spans="21:21" x14ac:dyDescent="0.3">
      <c r="U1335" t="s">
        <v>1633</v>
      </c>
    </row>
    <row r="1336" spans="21:21" x14ac:dyDescent="0.3">
      <c r="U1336" t="s">
        <v>1634</v>
      </c>
    </row>
    <row r="1337" spans="21:21" x14ac:dyDescent="0.3">
      <c r="U1337" t="s">
        <v>1635</v>
      </c>
    </row>
    <row r="1338" spans="21:21" x14ac:dyDescent="0.3">
      <c r="U1338" t="s">
        <v>1636</v>
      </c>
    </row>
    <row r="1339" spans="21:21" x14ac:dyDescent="0.3">
      <c r="U1339" t="s">
        <v>1637</v>
      </c>
    </row>
    <row r="1340" spans="21:21" x14ac:dyDescent="0.3">
      <c r="U1340" t="s">
        <v>1638</v>
      </c>
    </row>
    <row r="1341" spans="21:21" x14ac:dyDescent="0.3">
      <c r="U1341" t="s">
        <v>1639</v>
      </c>
    </row>
    <row r="1342" spans="21:21" x14ac:dyDescent="0.3">
      <c r="U1342" t="s">
        <v>1640</v>
      </c>
    </row>
    <row r="1343" spans="21:21" x14ac:dyDescent="0.3">
      <c r="U1343" t="s">
        <v>1641</v>
      </c>
    </row>
    <row r="1344" spans="21:21" x14ac:dyDescent="0.3">
      <c r="U1344" t="s">
        <v>1642</v>
      </c>
    </row>
    <row r="1345" spans="21:21" x14ac:dyDescent="0.3">
      <c r="U1345" t="s">
        <v>1643</v>
      </c>
    </row>
    <row r="1346" spans="21:21" x14ac:dyDescent="0.3">
      <c r="U1346" t="s">
        <v>1644</v>
      </c>
    </row>
    <row r="1347" spans="21:21" x14ac:dyDescent="0.3">
      <c r="U1347" t="s">
        <v>1645</v>
      </c>
    </row>
    <row r="1348" spans="21:21" x14ac:dyDescent="0.3">
      <c r="U1348" t="s">
        <v>1646</v>
      </c>
    </row>
    <row r="1349" spans="21:21" x14ac:dyDescent="0.3">
      <c r="U1349" t="s">
        <v>1647</v>
      </c>
    </row>
    <row r="1350" spans="21:21" x14ac:dyDescent="0.3">
      <c r="U1350" t="s">
        <v>1648</v>
      </c>
    </row>
    <row r="1351" spans="21:21" x14ac:dyDescent="0.3">
      <c r="U1351" t="s">
        <v>1649</v>
      </c>
    </row>
    <row r="1352" spans="21:21" x14ac:dyDescent="0.3">
      <c r="U1352" t="s">
        <v>1650</v>
      </c>
    </row>
    <row r="1353" spans="21:21" x14ac:dyDescent="0.3">
      <c r="U1353" t="s">
        <v>1651</v>
      </c>
    </row>
    <row r="1354" spans="21:21" x14ac:dyDescent="0.3">
      <c r="U1354" t="s">
        <v>1652</v>
      </c>
    </row>
    <row r="1355" spans="21:21" x14ac:dyDescent="0.3">
      <c r="U1355" t="s">
        <v>1653</v>
      </c>
    </row>
    <row r="1356" spans="21:21" x14ac:dyDescent="0.3">
      <c r="U1356" t="s">
        <v>1654</v>
      </c>
    </row>
    <row r="1357" spans="21:21" x14ac:dyDescent="0.3">
      <c r="U1357" t="s">
        <v>1655</v>
      </c>
    </row>
    <row r="1358" spans="21:21" x14ac:dyDescent="0.3">
      <c r="U1358" t="s">
        <v>1656</v>
      </c>
    </row>
    <row r="1359" spans="21:21" x14ac:dyDescent="0.3">
      <c r="U1359" t="s">
        <v>1657</v>
      </c>
    </row>
    <row r="1360" spans="21:21" x14ac:dyDescent="0.3">
      <c r="U1360" t="s">
        <v>1658</v>
      </c>
    </row>
    <row r="1361" spans="21:21" x14ac:dyDescent="0.3">
      <c r="U1361" t="s">
        <v>1659</v>
      </c>
    </row>
    <row r="1362" spans="21:21" x14ac:dyDescent="0.3">
      <c r="U1362" t="s">
        <v>1660</v>
      </c>
    </row>
    <row r="1363" spans="21:21" x14ac:dyDescent="0.3">
      <c r="U1363" t="s">
        <v>1661</v>
      </c>
    </row>
    <row r="1364" spans="21:21" x14ac:dyDescent="0.3">
      <c r="U1364" t="s">
        <v>1662</v>
      </c>
    </row>
    <row r="1365" spans="21:21" x14ac:dyDescent="0.3">
      <c r="U1365" t="s">
        <v>1663</v>
      </c>
    </row>
    <row r="1366" spans="21:21" x14ac:dyDescent="0.3">
      <c r="U1366" t="s">
        <v>1664</v>
      </c>
    </row>
    <row r="1367" spans="21:21" x14ac:dyDescent="0.3">
      <c r="U1367" t="s">
        <v>1665</v>
      </c>
    </row>
    <row r="1368" spans="21:21" x14ac:dyDescent="0.3">
      <c r="U1368" t="s">
        <v>1666</v>
      </c>
    </row>
    <row r="1369" spans="21:21" x14ac:dyDescent="0.3">
      <c r="U1369" t="s">
        <v>1667</v>
      </c>
    </row>
    <row r="1370" spans="21:21" x14ac:dyDescent="0.3">
      <c r="U1370" t="s">
        <v>1668</v>
      </c>
    </row>
    <row r="1371" spans="21:21" x14ac:dyDescent="0.3">
      <c r="U1371" t="s">
        <v>1669</v>
      </c>
    </row>
    <row r="1372" spans="21:21" x14ac:dyDescent="0.3">
      <c r="U1372" t="s">
        <v>1670</v>
      </c>
    </row>
    <row r="1373" spans="21:21" x14ac:dyDescent="0.3">
      <c r="U1373" t="s">
        <v>1671</v>
      </c>
    </row>
    <row r="1374" spans="21:21" x14ac:dyDescent="0.3">
      <c r="U1374" t="s">
        <v>1672</v>
      </c>
    </row>
    <row r="1375" spans="21:21" x14ac:dyDescent="0.3">
      <c r="U1375" t="s">
        <v>1673</v>
      </c>
    </row>
    <row r="1376" spans="21:21" x14ac:dyDescent="0.3">
      <c r="U1376" t="s">
        <v>1674</v>
      </c>
    </row>
    <row r="1377" spans="21:21" x14ac:dyDescent="0.3">
      <c r="U1377" t="s">
        <v>1675</v>
      </c>
    </row>
    <row r="1378" spans="21:21" x14ac:dyDescent="0.3">
      <c r="U1378" t="s">
        <v>1676</v>
      </c>
    </row>
    <row r="1379" spans="21:21" x14ac:dyDescent="0.3">
      <c r="U1379" t="s">
        <v>1677</v>
      </c>
    </row>
    <row r="1380" spans="21:21" x14ac:dyDescent="0.3">
      <c r="U1380" t="s">
        <v>1678</v>
      </c>
    </row>
    <row r="1381" spans="21:21" x14ac:dyDescent="0.3">
      <c r="U1381" t="s">
        <v>1679</v>
      </c>
    </row>
    <row r="1382" spans="21:21" x14ac:dyDescent="0.3">
      <c r="U1382" t="s">
        <v>1680</v>
      </c>
    </row>
    <row r="1383" spans="21:21" x14ac:dyDescent="0.3">
      <c r="U1383" t="s">
        <v>1681</v>
      </c>
    </row>
    <row r="1384" spans="21:21" x14ac:dyDescent="0.3">
      <c r="U1384" t="s">
        <v>1682</v>
      </c>
    </row>
    <row r="1385" spans="21:21" x14ac:dyDescent="0.3">
      <c r="U1385" t="s">
        <v>1683</v>
      </c>
    </row>
    <row r="1386" spans="21:21" x14ac:dyDescent="0.3">
      <c r="U1386" t="s">
        <v>1684</v>
      </c>
    </row>
    <row r="1387" spans="21:21" x14ac:dyDescent="0.3">
      <c r="U1387" t="s">
        <v>1685</v>
      </c>
    </row>
    <row r="1388" spans="21:21" x14ac:dyDescent="0.3">
      <c r="U1388" t="s">
        <v>1686</v>
      </c>
    </row>
    <row r="1389" spans="21:21" x14ac:dyDescent="0.3">
      <c r="U1389" t="s">
        <v>1687</v>
      </c>
    </row>
    <row r="1390" spans="21:21" x14ac:dyDescent="0.3">
      <c r="U1390" t="s">
        <v>1688</v>
      </c>
    </row>
    <row r="1391" spans="21:21" x14ac:dyDescent="0.3">
      <c r="U1391" t="s">
        <v>1689</v>
      </c>
    </row>
    <row r="1392" spans="21:21" x14ac:dyDescent="0.3">
      <c r="U1392" t="s">
        <v>1690</v>
      </c>
    </row>
    <row r="1393" spans="21:21" x14ac:dyDescent="0.3">
      <c r="U1393" t="s">
        <v>1691</v>
      </c>
    </row>
    <row r="1394" spans="21:21" x14ac:dyDescent="0.3">
      <c r="U1394" t="s">
        <v>1692</v>
      </c>
    </row>
    <row r="1395" spans="21:21" x14ac:dyDescent="0.3">
      <c r="U1395" t="s">
        <v>1693</v>
      </c>
    </row>
    <row r="1396" spans="21:21" x14ac:dyDescent="0.3">
      <c r="U1396" t="s">
        <v>1694</v>
      </c>
    </row>
    <row r="1397" spans="21:21" x14ac:dyDescent="0.3">
      <c r="U1397" t="s">
        <v>1695</v>
      </c>
    </row>
    <row r="1398" spans="21:21" x14ac:dyDescent="0.3">
      <c r="U1398" t="s">
        <v>1696</v>
      </c>
    </row>
    <row r="1399" spans="21:21" x14ac:dyDescent="0.3">
      <c r="U1399" t="s">
        <v>1697</v>
      </c>
    </row>
    <row r="1400" spans="21:21" x14ac:dyDescent="0.3">
      <c r="U1400" t="s">
        <v>1698</v>
      </c>
    </row>
    <row r="1401" spans="21:21" x14ac:dyDescent="0.3">
      <c r="U1401" t="s">
        <v>1699</v>
      </c>
    </row>
    <row r="1402" spans="21:21" x14ac:dyDescent="0.3">
      <c r="U1402" t="s">
        <v>1700</v>
      </c>
    </row>
    <row r="1403" spans="21:21" x14ac:dyDescent="0.3">
      <c r="U1403" t="s">
        <v>1701</v>
      </c>
    </row>
    <row r="1404" spans="21:21" x14ac:dyDescent="0.3">
      <c r="U1404" t="s">
        <v>1702</v>
      </c>
    </row>
    <row r="1405" spans="21:21" x14ac:dyDescent="0.3">
      <c r="U1405" t="s">
        <v>1703</v>
      </c>
    </row>
    <row r="1406" spans="21:21" x14ac:dyDescent="0.3">
      <c r="U1406" t="s">
        <v>1704</v>
      </c>
    </row>
    <row r="1407" spans="21:21" x14ac:dyDescent="0.3">
      <c r="U1407" t="s">
        <v>1705</v>
      </c>
    </row>
    <row r="1408" spans="21:21" x14ac:dyDescent="0.3">
      <c r="U1408" t="s">
        <v>1706</v>
      </c>
    </row>
    <row r="1409" spans="21:21" x14ac:dyDescent="0.3">
      <c r="U1409" t="s">
        <v>1707</v>
      </c>
    </row>
    <row r="1410" spans="21:21" x14ac:dyDescent="0.3">
      <c r="U1410" t="s">
        <v>1708</v>
      </c>
    </row>
    <row r="1411" spans="21:21" x14ac:dyDescent="0.3">
      <c r="U1411" t="s">
        <v>1709</v>
      </c>
    </row>
    <row r="1412" spans="21:21" x14ac:dyDescent="0.3">
      <c r="U1412" t="s">
        <v>1710</v>
      </c>
    </row>
    <row r="1413" spans="21:21" x14ac:dyDescent="0.3">
      <c r="U1413" t="s">
        <v>1711</v>
      </c>
    </row>
    <row r="1414" spans="21:21" x14ac:dyDescent="0.3">
      <c r="U1414" t="s">
        <v>1712</v>
      </c>
    </row>
    <row r="1415" spans="21:21" x14ac:dyDescent="0.3">
      <c r="U1415" t="s">
        <v>1713</v>
      </c>
    </row>
    <row r="1416" spans="21:21" x14ac:dyDescent="0.3">
      <c r="U1416" t="s">
        <v>1714</v>
      </c>
    </row>
    <row r="1417" spans="21:21" x14ac:dyDescent="0.3">
      <c r="U1417" t="s">
        <v>1715</v>
      </c>
    </row>
    <row r="1418" spans="21:21" x14ac:dyDescent="0.3">
      <c r="U1418" t="s">
        <v>1716</v>
      </c>
    </row>
    <row r="1419" spans="21:21" x14ac:dyDescent="0.3">
      <c r="U1419" t="s">
        <v>1717</v>
      </c>
    </row>
    <row r="1420" spans="21:21" x14ac:dyDescent="0.3">
      <c r="U1420" t="s">
        <v>1718</v>
      </c>
    </row>
    <row r="1421" spans="21:21" x14ac:dyDescent="0.3">
      <c r="U1421" t="s">
        <v>1719</v>
      </c>
    </row>
    <row r="1422" spans="21:21" x14ac:dyDescent="0.3">
      <c r="U1422" t="s">
        <v>1720</v>
      </c>
    </row>
    <row r="1423" spans="21:21" x14ac:dyDescent="0.3">
      <c r="U1423" t="s">
        <v>1721</v>
      </c>
    </row>
    <row r="1424" spans="21:21" x14ac:dyDescent="0.3">
      <c r="U1424" t="s">
        <v>1722</v>
      </c>
    </row>
    <row r="1425" spans="21:21" x14ac:dyDescent="0.3">
      <c r="U1425" t="s">
        <v>1723</v>
      </c>
    </row>
    <row r="1426" spans="21:21" x14ac:dyDescent="0.3">
      <c r="U1426" t="s">
        <v>1724</v>
      </c>
    </row>
    <row r="1427" spans="21:21" x14ac:dyDescent="0.3">
      <c r="U1427" t="s">
        <v>1725</v>
      </c>
    </row>
    <row r="1428" spans="21:21" x14ac:dyDescent="0.3">
      <c r="U1428" t="s">
        <v>1726</v>
      </c>
    </row>
    <row r="1429" spans="21:21" x14ac:dyDescent="0.3">
      <c r="U1429" t="s">
        <v>1727</v>
      </c>
    </row>
    <row r="1430" spans="21:21" x14ac:dyDescent="0.3">
      <c r="U1430" t="s">
        <v>1728</v>
      </c>
    </row>
    <row r="1431" spans="21:21" x14ac:dyDescent="0.3">
      <c r="U1431" t="s">
        <v>1729</v>
      </c>
    </row>
    <row r="1432" spans="21:21" x14ac:dyDescent="0.3">
      <c r="U1432" t="s">
        <v>1730</v>
      </c>
    </row>
    <row r="1433" spans="21:21" x14ac:dyDescent="0.3">
      <c r="U1433" t="s">
        <v>1731</v>
      </c>
    </row>
    <row r="1434" spans="21:21" x14ac:dyDescent="0.3">
      <c r="U1434" t="s">
        <v>1732</v>
      </c>
    </row>
    <row r="1435" spans="21:21" x14ac:dyDescent="0.3">
      <c r="U1435" t="s">
        <v>1733</v>
      </c>
    </row>
    <row r="1436" spans="21:21" x14ac:dyDescent="0.3">
      <c r="U1436" t="s">
        <v>1734</v>
      </c>
    </row>
    <row r="1437" spans="21:21" x14ac:dyDescent="0.3">
      <c r="U1437" t="s">
        <v>1735</v>
      </c>
    </row>
    <row r="1438" spans="21:21" x14ac:dyDescent="0.3">
      <c r="U1438" t="s">
        <v>1736</v>
      </c>
    </row>
    <row r="1439" spans="21:21" x14ac:dyDescent="0.3">
      <c r="U1439" t="s">
        <v>1737</v>
      </c>
    </row>
    <row r="1440" spans="21:21" x14ac:dyDescent="0.3">
      <c r="U1440" t="s">
        <v>1738</v>
      </c>
    </row>
    <row r="1441" spans="21:21" x14ac:dyDescent="0.3">
      <c r="U1441" t="s">
        <v>1739</v>
      </c>
    </row>
    <row r="1442" spans="21:21" x14ac:dyDescent="0.3">
      <c r="U1442" t="s">
        <v>1740</v>
      </c>
    </row>
    <row r="1443" spans="21:21" x14ac:dyDescent="0.3">
      <c r="U1443" t="s">
        <v>1741</v>
      </c>
    </row>
    <row r="1444" spans="21:21" x14ac:dyDescent="0.3">
      <c r="U1444" t="s">
        <v>1742</v>
      </c>
    </row>
    <row r="1445" spans="21:21" x14ac:dyDescent="0.3">
      <c r="U1445" t="s">
        <v>1743</v>
      </c>
    </row>
    <row r="1446" spans="21:21" x14ac:dyDescent="0.3">
      <c r="U1446" t="s">
        <v>1744</v>
      </c>
    </row>
    <row r="1447" spans="21:21" x14ac:dyDescent="0.3">
      <c r="U1447" t="s">
        <v>1745</v>
      </c>
    </row>
    <row r="1448" spans="21:21" x14ac:dyDescent="0.3">
      <c r="U1448" t="s">
        <v>1746</v>
      </c>
    </row>
    <row r="1449" spans="21:21" x14ac:dyDescent="0.3">
      <c r="U1449" t="s">
        <v>1747</v>
      </c>
    </row>
    <row r="1450" spans="21:21" x14ac:dyDescent="0.3">
      <c r="U1450" t="s">
        <v>1748</v>
      </c>
    </row>
    <row r="1451" spans="21:21" x14ac:dyDescent="0.3">
      <c r="U1451" t="s">
        <v>1749</v>
      </c>
    </row>
    <row r="1452" spans="21:21" x14ac:dyDescent="0.3">
      <c r="U1452" t="s">
        <v>1750</v>
      </c>
    </row>
    <row r="1453" spans="21:21" x14ac:dyDescent="0.3">
      <c r="U1453" t="s">
        <v>1751</v>
      </c>
    </row>
    <row r="1454" spans="21:21" x14ac:dyDescent="0.3">
      <c r="U1454" t="s">
        <v>1752</v>
      </c>
    </row>
    <row r="1455" spans="21:21" x14ac:dyDescent="0.3">
      <c r="U1455" t="s">
        <v>1753</v>
      </c>
    </row>
    <row r="1456" spans="21:21" x14ac:dyDescent="0.3">
      <c r="U1456" t="s">
        <v>1754</v>
      </c>
    </row>
    <row r="1457" spans="21:21" x14ac:dyDescent="0.3">
      <c r="U1457" t="s">
        <v>1755</v>
      </c>
    </row>
    <row r="1458" spans="21:21" x14ac:dyDescent="0.3">
      <c r="U1458" t="s">
        <v>1756</v>
      </c>
    </row>
    <row r="1459" spans="21:21" x14ac:dyDescent="0.3">
      <c r="U1459" t="s">
        <v>1757</v>
      </c>
    </row>
    <row r="1460" spans="21:21" x14ac:dyDescent="0.3">
      <c r="U1460" t="s">
        <v>1758</v>
      </c>
    </row>
    <row r="1461" spans="21:21" x14ac:dyDescent="0.3">
      <c r="U1461" t="s">
        <v>1759</v>
      </c>
    </row>
    <row r="1462" spans="21:21" x14ac:dyDescent="0.3">
      <c r="U1462" t="s">
        <v>1760</v>
      </c>
    </row>
    <row r="1463" spans="21:21" x14ac:dyDescent="0.3">
      <c r="U1463" t="s">
        <v>1761</v>
      </c>
    </row>
    <row r="1464" spans="21:21" x14ac:dyDescent="0.3">
      <c r="U1464" t="s">
        <v>1762</v>
      </c>
    </row>
    <row r="1465" spans="21:21" x14ac:dyDescent="0.3">
      <c r="U1465" t="s">
        <v>1763</v>
      </c>
    </row>
    <row r="1466" spans="21:21" x14ac:dyDescent="0.3">
      <c r="U1466" t="s">
        <v>1764</v>
      </c>
    </row>
    <row r="1467" spans="21:21" x14ac:dyDescent="0.3">
      <c r="U1467" t="s">
        <v>1765</v>
      </c>
    </row>
    <row r="1468" spans="21:21" x14ac:dyDescent="0.3">
      <c r="U1468" t="s">
        <v>1766</v>
      </c>
    </row>
    <row r="1469" spans="21:21" x14ac:dyDescent="0.3">
      <c r="U1469" t="s">
        <v>1767</v>
      </c>
    </row>
    <row r="1470" spans="21:21" x14ac:dyDescent="0.3">
      <c r="U1470" t="s">
        <v>1768</v>
      </c>
    </row>
    <row r="1471" spans="21:21" x14ac:dyDescent="0.3">
      <c r="U1471" t="s">
        <v>1769</v>
      </c>
    </row>
    <row r="1472" spans="21:21" x14ac:dyDescent="0.3">
      <c r="U1472" t="s">
        <v>1770</v>
      </c>
    </row>
    <row r="1473" spans="21:21" x14ac:dyDescent="0.3">
      <c r="U1473" t="s">
        <v>1771</v>
      </c>
    </row>
    <row r="1474" spans="21:21" x14ac:dyDescent="0.3">
      <c r="U1474" t="s">
        <v>1772</v>
      </c>
    </row>
    <row r="1475" spans="21:21" x14ac:dyDescent="0.3">
      <c r="U1475" t="s">
        <v>1773</v>
      </c>
    </row>
    <row r="1476" spans="21:21" x14ac:dyDescent="0.3">
      <c r="U1476" t="s">
        <v>1774</v>
      </c>
    </row>
    <row r="1477" spans="21:21" x14ac:dyDescent="0.3">
      <c r="U1477" t="s">
        <v>1775</v>
      </c>
    </row>
    <row r="1478" spans="21:21" x14ac:dyDescent="0.3">
      <c r="U1478" t="s">
        <v>1776</v>
      </c>
    </row>
    <row r="1479" spans="21:21" x14ac:dyDescent="0.3">
      <c r="U1479" t="s">
        <v>1777</v>
      </c>
    </row>
    <row r="1480" spans="21:21" x14ac:dyDescent="0.3">
      <c r="U1480" t="s">
        <v>1778</v>
      </c>
    </row>
    <row r="1481" spans="21:21" x14ac:dyDescent="0.3">
      <c r="U1481" t="s">
        <v>1779</v>
      </c>
    </row>
    <row r="1482" spans="21:21" x14ac:dyDescent="0.3">
      <c r="U1482" t="s">
        <v>1780</v>
      </c>
    </row>
    <row r="1483" spans="21:21" x14ac:dyDescent="0.3">
      <c r="U1483" t="s">
        <v>1781</v>
      </c>
    </row>
    <row r="1484" spans="21:21" x14ac:dyDescent="0.3">
      <c r="U1484" t="s">
        <v>1782</v>
      </c>
    </row>
    <row r="1485" spans="21:21" x14ac:dyDescent="0.3">
      <c r="U1485" t="s">
        <v>1783</v>
      </c>
    </row>
    <row r="1486" spans="21:21" x14ac:dyDescent="0.3">
      <c r="U1486" t="s">
        <v>1784</v>
      </c>
    </row>
    <row r="1487" spans="21:21" x14ac:dyDescent="0.3">
      <c r="U1487" t="s">
        <v>1785</v>
      </c>
    </row>
    <row r="1488" spans="21:21" x14ac:dyDescent="0.3">
      <c r="U1488" t="s">
        <v>1786</v>
      </c>
    </row>
    <row r="1489" spans="21:21" x14ac:dyDescent="0.3">
      <c r="U1489" t="s">
        <v>1787</v>
      </c>
    </row>
    <row r="1490" spans="21:21" x14ac:dyDescent="0.3">
      <c r="U1490" t="s">
        <v>1788</v>
      </c>
    </row>
    <row r="1491" spans="21:21" x14ac:dyDescent="0.3">
      <c r="U1491" t="s">
        <v>1789</v>
      </c>
    </row>
    <row r="1492" spans="21:21" x14ac:dyDescent="0.3">
      <c r="U1492" t="s">
        <v>1790</v>
      </c>
    </row>
    <row r="1493" spans="21:21" x14ac:dyDescent="0.3">
      <c r="U1493" t="s">
        <v>1791</v>
      </c>
    </row>
    <row r="1494" spans="21:21" x14ac:dyDescent="0.3">
      <c r="U1494" t="s">
        <v>1792</v>
      </c>
    </row>
    <row r="1495" spans="21:21" x14ac:dyDescent="0.3">
      <c r="U1495" t="s">
        <v>1793</v>
      </c>
    </row>
    <row r="1496" spans="21:21" x14ac:dyDescent="0.3">
      <c r="U1496" t="s">
        <v>1794</v>
      </c>
    </row>
    <row r="1497" spans="21:21" x14ac:dyDescent="0.3">
      <c r="U1497" t="s">
        <v>1795</v>
      </c>
    </row>
    <row r="1498" spans="21:21" x14ac:dyDescent="0.3">
      <c r="U1498" t="s">
        <v>1796</v>
      </c>
    </row>
    <row r="1499" spans="21:21" x14ac:dyDescent="0.3">
      <c r="U1499" t="s">
        <v>1797</v>
      </c>
    </row>
    <row r="1500" spans="21:21" x14ac:dyDescent="0.3">
      <c r="U1500" t="s">
        <v>1798</v>
      </c>
    </row>
    <row r="1501" spans="21:21" x14ac:dyDescent="0.3">
      <c r="U1501" t="s">
        <v>1799</v>
      </c>
    </row>
    <row r="1502" spans="21:21" x14ac:dyDescent="0.3">
      <c r="U1502" t="s">
        <v>1800</v>
      </c>
    </row>
    <row r="1503" spans="21:21" x14ac:dyDescent="0.3">
      <c r="U1503" t="s">
        <v>1801</v>
      </c>
    </row>
    <row r="1504" spans="21:21" x14ac:dyDescent="0.3">
      <c r="U1504" t="s">
        <v>1802</v>
      </c>
    </row>
    <row r="1505" spans="21:21" x14ac:dyDescent="0.3">
      <c r="U1505" t="s">
        <v>1803</v>
      </c>
    </row>
    <row r="1506" spans="21:21" x14ac:dyDescent="0.3">
      <c r="U1506" t="s">
        <v>1804</v>
      </c>
    </row>
    <row r="1507" spans="21:21" x14ac:dyDescent="0.3">
      <c r="U1507" t="s">
        <v>1805</v>
      </c>
    </row>
    <row r="1508" spans="21:21" x14ac:dyDescent="0.3">
      <c r="U1508" t="s">
        <v>1806</v>
      </c>
    </row>
    <row r="1509" spans="21:21" x14ac:dyDescent="0.3">
      <c r="U1509" t="s">
        <v>1807</v>
      </c>
    </row>
    <row r="1510" spans="21:21" x14ac:dyDescent="0.3">
      <c r="U1510" t="s">
        <v>1808</v>
      </c>
    </row>
    <row r="1511" spans="21:21" x14ac:dyDescent="0.3">
      <c r="U1511" t="s">
        <v>1809</v>
      </c>
    </row>
    <row r="1512" spans="21:21" x14ac:dyDescent="0.3">
      <c r="U1512" t="s">
        <v>1810</v>
      </c>
    </row>
    <row r="1513" spans="21:21" x14ac:dyDescent="0.3">
      <c r="U1513" t="s">
        <v>1811</v>
      </c>
    </row>
    <row r="1514" spans="21:21" x14ac:dyDescent="0.3">
      <c r="U1514" t="s">
        <v>1812</v>
      </c>
    </row>
    <row r="1515" spans="21:21" x14ac:dyDescent="0.3">
      <c r="U1515" t="s">
        <v>1813</v>
      </c>
    </row>
    <row r="1516" spans="21:21" x14ac:dyDescent="0.3">
      <c r="U1516" t="s">
        <v>1814</v>
      </c>
    </row>
    <row r="1517" spans="21:21" x14ac:dyDescent="0.3">
      <c r="U1517" t="s">
        <v>1815</v>
      </c>
    </row>
    <row r="1518" spans="21:21" x14ac:dyDescent="0.3">
      <c r="U1518" t="s">
        <v>1816</v>
      </c>
    </row>
    <row r="1519" spans="21:21" x14ac:dyDescent="0.3">
      <c r="U1519" t="s">
        <v>1817</v>
      </c>
    </row>
    <row r="1520" spans="21:21" x14ac:dyDescent="0.3">
      <c r="U1520" t="s">
        <v>1818</v>
      </c>
    </row>
    <row r="1521" spans="21:21" x14ac:dyDescent="0.3">
      <c r="U1521" t="s">
        <v>1819</v>
      </c>
    </row>
    <row r="1522" spans="21:21" x14ac:dyDescent="0.3">
      <c r="U1522" t="s">
        <v>1820</v>
      </c>
    </row>
    <row r="1523" spans="21:21" x14ac:dyDescent="0.3">
      <c r="U1523" t="s">
        <v>1821</v>
      </c>
    </row>
    <row r="1524" spans="21:21" x14ac:dyDescent="0.3">
      <c r="U1524" t="s">
        <v>1822</v>
      </c>
    </row>
    <row r="1525" spans="21:21" x14ac:dyDescent="0.3">
      <c r="U1525" t="s">
        <v>1823</v>
      </c>
    </row>
    <row r="1526" spans="21:21" x14ac:dyDescent="0.3">
      <c r="U1526" t="s">
        <v>1824</v>
      </c>
    </row>
    <row r="1527" spans="21:21" x14ac:dyDescent="0.3">
      <c r="U1527" t="s">
        <v>1825</v>
      </c>
    </row>
    <row r="1528" spans="21:21" x14ac:dyDescent="0.3">
      <c r="U1528" t="s">
        <v>1826</v>
      </c>
    </row>
    <row r="1529" spans="21:21" x14ac:dyDescent="0.3">
      <c r="U1529" t="s">
        <v>1827</v>
      </c>
    </row>
    <row r="1530" spans="21:21" x14ac:dyDescent="0.3">
      <c r="U1530" t="s">
        <v>1828</v>
      </c>
    </row>
    <row r="1531" spans="21:21" x14ac:dyDescent="0.3">
      <c r="U1531" t="s">
        <v>1829</v>
      </c>
    </row>
    <row r="1532" spans="21:21" x14ac:dyDescent="0.3">
      <c r="U1532" t="s">
        <v>1830</v>
      </c>
    </row>
    <row r="1533" spans="21:21" x14ac:dyDescent="0.3">
      <c r="U1533" t="s">
        <v>1831</v>
      </c>
    </row>
    <row r="1534" spans="21:21" x14ac:dyDescent="0.3">
      <c r="U1534" t="s">
        <v>1832</v>
      </c>
    </row>
    <row r="1535" spans="21:21" x14ac:dyDescent="0.3">
      <c r="U1535" t="s">
        <v>1833</v>
      </c>
    </row>
    <row r="1536" spans="21:21" x14ac:dyDescent="0.3">
      <c r="U1536" t="s">
        <v>1834</v>
      </c>
    </row>
    <row r="1537" spans="21:21" x14ac:dyDescent="0.3">
      <c r="U1537" t="s">
        <v>1835</v>
      </c>
    </row>
    <row r="1538" spans="21:21" x14ac:dyDescent="0.3">
      <c r="U1538" t="s">
        <v>1836</v>
      </c>
    </row>
    <row r="1539" spans="21:21" x14ac:dyDescent="0.3">
      <c r="U1539" t="s">
        <v>1837</v>
      </c>
    </row>
    <row r="1540" spans="21:21" x14ac:dyDescent="0.3">
      <c r="U1540" t="s">
        <v>1838</v>
      </c>
    </row>
    <row r="1541" spans="21:21" x14ac:dyDescent="0.3">
      <c r="U1541" t="s">
        <v>1839</v>
      </c>
    </row>
    <row r="1542" spans="21:21" x14ac:dyDescent="0.3">
      <c r="U1542" t="s">
        <v>1840</v>
      </c>
    </row>
    <row r="1543" spans="21:21" x14ac:dyDescent="0.3">
      <c r="U1543" t="s">
        <v>1841</v>
      </c>
    </row>
    <row r="1544" spans="21:21" x14ac:dyDescent="0.3">
      <c r="U1544" t="s">
        <v>1842</v>
      </c>
    </row>
    <row r="1545" spans="21:21" x14ac:dyDescent="0.3">
      <c r="U1545" t="s">
        <v>1843</v>
      </c>
    </row>
    <row r="1546" spans="21:21" x14ac:dyDescent="0.3">
      <c r="U1546" t="s">
        <v>1844</v>
      </c>
    </row>
    <row r="1547" spans="21:21" x14ac:dyDescent="0.3">
      <c r="U1547" t="s">
        <v>1845</v>
      </c>
    </row>
    <row r="1548" spans="21:21" x14ac:dyDescent="0.3">
      <c r="U1548" t="s">
        <v>1846</v>
      </c>
    </row>
    <row r="1549" spans="21:21" x14ac:dyDescent="0.3">
      <c r="U1549" t="s">
        <v>1847</v>
      </c>
    </row>
    <row r="1550" spans="21:21" x14ac:dyDescent="0.3">
      <c r="U1550" t="s">
        <v>1848</v>
      </c>
    </row>
    <row r="1551" spans="21:21" x14ac:dyDescent="0.3">
      <c r="U1551" t="s">
        <v>1849</v>
      </c>
    </row>
    <row r="1552" spans="21:21" x14ac:dyDescent="0.3">
      <c r="U1552" t="s">
        <v>1850</v>
      </c>
    </row>
    <row r="1553" spans="21:21" x14ac:dyDescent="0.3">
      <c r="U1553" t="s">
        <v>1851</v>
      </c>
    </row>
    <row r="1554" spans="21:21" x14ac:dyDescent="0.3">
      <c r="U1554" t="s">
        <v>1852</v>
      </c>
    </row>
    <row r="1555" spans="21:21" x14ac:dyDescent="0.3">
      <c r="U1555" t="s">
        <v>1853</v>
      </c>
    </row>
    <row r="1556" spans="21:21" x14ac:dyDescent="0.3">
      <c r="U1556" t="s">
        <v>1854</v>
      </c>
    </row>
    <row r="1557" spans="21:21" x14ac:dyDescent="0.3">
      <c r="U1557" t="s">
        <v>1855</v>
      </c>
    </row>
    <row r="1558" spans="21:21" x14ac:dyDescent="0.3">
      <c r="U1558" t="s">
        <v>1856</v>
      </c>
    </row>
    <row r="1559" spans="21:21" x14ac:dyDescent="0.3">
      <c r="U1559" t="s">
        <v>1857</v>
      </c>
    </row>
    <row r="1560" spans="21:21" x14ac:dyDescent="0.3">
      <c r="U1560" t="s">
        <v>1858</v>
      </c>
    </row>
    <row r="1561" spans="21:21" x14ac:dyDescent="0.3">
      <c r="U1561" t="s">
        <v>1859</v>
      </c>
    </row>
    <row r="1562" spans="21:21" x14ac:dyDescent="0.3">
      <c r="U1562" t="s">
        <v>1860</v>
      </c>
    </row>
    <row r="1563" spans="21:21" x14ac:dyDescent="0.3">
      <c r="U1563" t="s">
        <v>1861</v>
      </c>
    </row>
    <row r="1564" spans="21:21" x14ac:dyDescent="0.3">
      <c r="U1564" t="s">
        <v>1862</v>
      </c>
    </row>
    <row r="1565" spans="21:21" x14ac:dyDescent="0.3">
      <c r="U1565" t="s">
        <v>1863</v>
      </c>
    </row>
    <row r="1566" spans="21:21" x14ac:dyDescent="0.3">
      <c r="U1566" t="s">
        <v>1864</v>
      </c>
    </row>
    <row r="1567" spans="21:21" x14ac:dyDescent="0.3">
      <c r="U1567" t="s">
        <v>1865</v>
      </c>
    </row>
    <row r="1568" spans="21:21" x14ac:dyDescent="0.3">
      <c r="U1568" t="s">
        <v>1866</v>
      </c>
    </row>
    <row r="1569" spans="21:21" x14ac:dyDescent="0.3">
      <c r="U1569" t="s">
        <v>1867</v>
      </c>
    </row>
    <row r="1570" spans="21:21" x14ac:dyDescent="0.3">
      <c r="U1570" t="s">
        <v>1868</v>
      </c>
    </row>
    <row r="1571" spans="21:21" x14ac:dyDescent="0.3">
      <c r="U1571" t="s">
        <v>1869</v>
      </c>
    </row>
    <row r="1572" spans="21:21" x14ac:dyDescent="0.3">
      <c r="U1572" t="s">
        <v>1870</v>
      </c>
    </row>
    <row r="1573" spans="21:21" x14ac:dyDescent="0.3">
      <c r="U1573" t="s">
        <v>1871</v>
      </c>
    </row>
    <row r="1574" spans="21:21" x14ac:dyDescent="0.3">
      <c r="U1574" t="s">
        <v>1872</v>
      </c>
    </row>
    <row r="1575" spans="21:21" x14ac:dyDescent="0.3">
      <c r="U1575" t="s">
        <v>1873</v>
      </c>
    </row>
    <row r="1576" spans="21:21" x14ac:dyDescent="0.3">
      <c r="U1576" t="s">
        <v>1874</v>
      </c>
    </row>
    <row r="1577" spans="21:21" x14ac:dyDescent="0.3">
      <c r="U1577" t="s">
        <v>1875</v>
      </c>
    </row>
    <row r="1578" spans="21:21" x14ac:dyDescent="0.3">
      <c r="U1578" t="s">
        <v>1876</v>
      </c>
    </row>
    <row r="1579" spans="21:21" x14ac:dyDescent="0.3">
      <c r="U1579" t="s">
        <v>1877</v>
      </c>
    </row>
    <row r="1580" spans="21:21" x14ac:dyDescent="0.3">
      <c r="U1580" t="s">
        <v>1878</v>
      </c>
    </row>
    <row r="1581" spans="21:21" x14ac:dyDescent="0.3">
      <c r="U1581" t="s">
        <v>1879</v>
      </c>
    </row>
    <row r="1582" spans="21:21" x14ac:dyDescent="0.3">
      <c r="U1582" t="s">
        <v>1880</v>
      </c>
    </row>
    <row r="1583" spans="21:21" x14ac:dyDescent="0.3">
      <c r="U1583" t="s">
        <v>1881</v>
      </c>
    </row>
    <row r="1584" spans="21:21" x14ac:dyDescent="0.3">
      <c r="U1584" t="s">
        <v>1882</v>
      </c>
    </row>
    <row r="1585" spans="21:21" x14ac:dyDescent="0.3">
      <c r="U1585" t="s">
        <v>1883</v>
      </c>
    </row>
    <row r="1586" spans="21:21" x14ac:dyDescent="0.3">
      <c r="U1586" t="s">
        <v>1884</v>
      </c>
    </row>
    <row r="1587" spans="21:21" x14ac:dyDescent="0.3">
      <c r="U1587" t="s">
        <v>1885</v>
      </c>
    </row>
    <row r="1588" spans="21:21" x14ac:dyDescent="0.3">
      <c r="U1588" t="s">
        <v>1886</v>
      </c>
    </row>
    <row r="1589" spans="21:21" x14ac:dyDescent="0.3">
      <c r="U1589" t="s">
        <v>1887</v>
      </c>
    </row>
    <row r="1590" spans="21:21" x14ac:dyDescent="0.3">
      <c r="U1590" t="s">
        <v>1888</v>
      </c>
    </row>
    <row r="1591" spans="21:21" x14ac:dyDescent="0.3">
      <c r="U1591" t="s">
        <v>1889</v>
      </c>
    </row>
    <row r="1592" spans="21:21" x14ac:dyDescent="0.3">
      <c r="U1592" t="s">
        <v>1890</v>
      </c>
    </row>
    <row r="1593" spans="21:21" x14ac:dyDescent="0.3">
      <c r="U1593" t="s">
        <v>1891</v>
      </c>
    </row>
    <row r="1594" spans="21:21" x14ac:dyDescent="0.3">
      <c r="U1594" t="s">
        <v>1892</v>
      </c>
    </row>
    <row r="1595" spans="21:21" x14ac:dyDescent="0.3">
      <c r="U1595" t="s">
        <v>1893</v>
      </c>
    </row>
    <row r="1596" spans="21:21" x14ac:dyDescent="0.3">
      <c r="U1596" t="s">
        <v>1894</v>
      </c>
    </row>
    <row r="1597" spans="21:21" x14ac:dyDescent="0.3">
      <c r="U1597" t="s">
        <v>1895</v>
      </c>
    </row>
    <row r="1598" spans="21:21" x14ac:dyDescent="0.3">
      <c r="U1598" t="s">
        <v>1896</v>
      </c>
    </row>
    <row r="1599" spans="21:21" x14ac:dyDescent="0.3">
      <c r="U1599" t="s">
        <v>1897</v>
      </c>
    </row>
    <row r="1600" spans="21:21" x14ac:dyDescent="0.3">
      <c r="U1600" t="s">
        <v>1898</v>
      </c>
    </row>
    <row r="1601" spans="21:21" x14ac:dyDescent="0.3">
      <c r="U1601" t="s">
        <v>1899</v>
      </c>
    </row>
    <row r="1602" spans="21:21" x14ac:dyDescent="0.3">
      <c r="U1602" t="s">
        <v>1900</v>
      </c>
    </row>
  </sheetData>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1AC72-D982-4A4F-ABCB-6589D2F602C0}">
  <sheetPr codeName="Sheet9">
    <tabColor theme="8"/>
  </sheetPr>
  <dimension ref="B2:I95"/>
  <sheetViews>
    <sheetView zoomScale="80" zoomScaleNormal="80" workbookViewId="0"/>
  </sheetViews>
  <sheetFormatPr defaultColWidth="70.21875" defaultRowHeight="16.8" x14ac:dyDescent="0.4"/>
  <cols>
    <col min="1" max="1" width="9" style="14" customWidth="1"/>
    <col min="2" max="2" width="77" style="14" bestFit="1" customWidth="1"/>
    <col min="3" max="3" width="15.5546875" style="15" customWidth="1"/>
    <col min="4" max="4" width="44.21875" style="14" customWidth="1"/>
    <col min="5" max="5" width="70.21875" style="14" customWidth="1"/>
    <col min="6" max="6" width="149.21875" style="14" customWidth="1"/>
    <col min="7" max="7" width="111.21875" style="14" customWidth="1"/>
    <col min="8" max="16384" width="70.21875" style="14"/>
  </cols>
  <sheetData>
    <row r="2" spans="2:9" x14ac:dyDescent="0.4">
      <c r="B2" s="31" t="s">
        <v>1919</v>
      </c>
      <c r="C2" s="19"/>
      <c r="D2" s="19"/>
      <c r="E2" s="19"/>
      <c r="F2" s="19"/>
      <c r="G2" s="19"/>
      <c r="H2" s="19"/>
      <c r="I2" s="19"/>
    </row>
    <row r="3" spans="2:9" s="16" customFormat="1" x14ac:dyDescent="0.4">
      <c r="B3" s="102" t="s">
        <v>0</v>
      </c>
      <c r="C3" s="102" t="s">
        <v>1</v>
      </c>
      <c r="D3" s="102" t="s">
        <v>2</v>
      </c>
      <c r="E3" s="19"/>
      <c r="F3" s="19"/>
      <c r="G3" s="19"/>
      <c r="H3" s="19"/>
      <c r="I3" s="238"/>
    </row>
    <row r="4" spans="2:9" x14ac:dyDescent="0.4">
      <c r="B4" s="13" t="s">
        <v>3</v>
      </c>
      <c r="C4" s="320" t="s">
        <v>4</v>
      </c>
      <c r="D4" s="339" t="s">
        <v>5</v>
      </c>
      <c r="E4" s="19"/>
      <c r="F4" s="148"/>
      <c r="G4" s="148"/>
      <c r="H4" s="19"/>
      <c r="I4" s="19"/>
    </row>
    <row r="5" spans="2:9" hidden="1" x14ac:dyDescent="0.4">
      <c r="B5" s="320" t="s">
        <v>6</v>
      </c>
      <c r="C5" s="320" t="s">
        <v>7</v>
      </c>
      <c r="D5" s="339" t="s">
        <v>8</v>
      </c>
      <c r="E5" s="319"/>
      <c r="F5" s="148"/>
      <c r="G5" s="148"/>
      <c r="H5" s="19"/>
      <c r="I5" s="19"/>
    </row>
    <row r="6" spans="2:9" hidden="1" x14ac:dyDescent="0.4">
      <c r="B6" s="13" t="s">
        <v>9</v>
      </c>
      <c r="C6" s="13" t="s">
        <v>10</v>
      </c>
      <c r="D6" s="339" t="s">
        <v>11</v>
      </c>
      <c r="E6" s="239"/>
      <c r="F6" s="148"/>
      <c r="G6" s="148"/>
      <c r="H6" s="19"/>
      <c r="I6" s="19"/>
    </row>
    <row r="7" spans="2:9" hidden="1" x14ac:dyDescent="0.4">
      <c r="B7" s="13" t="s">
        <v>12</v>
      </c>
      <c r="C7" s="13" t="s">
        <v>10</v>
      </c>
      <c r="D7" s="339" t="s">
        <v>13</v>
      </c>
      <c r="E7" s="239"/>
      <c r="F7" s="148"/>
      <c r="G7" s="148"/>
      <c r="H7" s="19"/>
      <c r="I7" s="19"/>
    </row>
    <row r="8" spans="2:9" x14ac:dyDescent="0.4">
      <c r="B8" s="13" t="s">
        <v>14</v>
      </c>
      <c r="C8" s="13" t="s">
        <v>10</v>
      </c>
      <c r="D8" s="339" t="s">
        <v>15</v>
      </c>
      <c r="E8" s="239"/>
      <c r="F8" s="148"/>
      <c r="G8" s="148"/>
      <c r="H8" s="19"/>
      <c r="I8" s="19"/>
    </row>
    <row r="9" spans="2:9" x14ac:dyDescent="0.4">
      <c r="B9" s="13" t="s">
        <v>16</v>
      </c>
      <c r="C9" s="13" t="s">
        <v>10</v>
      </c>
      <c r="D9" s="339" t="s">
        <v>17</v>
      </c>
      <c r="E9" s="239"/>
      <c r="F9" s="148"/>
      <c r="G9" s="148"/>
      <c r="H9" s="19"/>
      <c r="I9" s="19"/>
    </row>
    <row r="10" spans="2:9" hidden="1" x14ac:dyDescent="0.4">
      <c r="B10" s="13" t="s">
        <v>18</v>
      </c>
      <c r="C10" s="13" t="s">
        <v>10</v>
      </c>
      <c r="D10" s="339" t="s">
        <v>19</v>
      </c>
      <c r="E10" s="148"/>
      <c r="F10" s="148"/>
      <c r="G10" s="148"/>
      <c r="H10" s="19"/>
      <c r="I10" s="19"/>
    </row>
    <row r="11" spans="2:9" hidden="1" x14ac:dyDescent="0.4">
      <c r="B11" s="13" t="s">
        <v>20</v>
      </c>
      <c r="C11" s="13" t="s">
        <v>10</v>
      </c>
      <c r="D11" s="339" t="s">
        <v>21</v>
      </c>
      <c r="E11" s="148"/>
      <c r="F11" s="148"/>
      <c r="G11" s="148"/>
      <c r="H11" s="19"/>
      <c r="I11" s="19"/>
    </row>
    <row r="12" spans="2:9" hidden="1" x14ac:dyDescent="0.4">
      <c r="B12" s="13" t="s">
        <v>1920</v>
      </c>
      <c r="C12" s="13" t="s">
        <v>22</v>
      </c>
      <c r="D12" s="339" t="s">
        <v>23</v>
      </c>
      <c r="E12" s="148"/>
      <c r="F12" s="148"/>
      <c r="G12" s="148"/>
      <c r="H12" s="19"/>
      <c r="I12" s="19"/>
    </row>
    <row r="13" spans="2:9" hidden="1" x14ac:dyDescent="0.4">
      <c r="B13" s="13" t="s">
        <v>25</v>
      </c>
      <c r="C13" s="13" t="s">
        <v>26</v>
      </c>
      <c r="D13" s="339" t="s">
        <v>27</v>
      </c>
      <c r="E13" s="148"/>
      <c r="F13" s="148"/>
      <c r="G13" s="148"/>
      <c r="H13" s="19"/>
      <c r="I13" s="19"/>
    </row>
    <row r="14" spans="2:9" hidden="1" x14ac:dyDescent="0.4">
      <c r="B14" s="13" t="s">
        <v>28</v>
      </c>
      <c r="C14" s="13" t="s">
        <v>29</v>
      </c>
      <c r="D14" s="339" t="s">
        <v>28</v>
      </c>
      <c r="E14" s="148"/>
      <c r="F14" s="148"/>
      <c r="G14" s="148"/>
      <c r="H14" s="19"/>
      <c r="I14" s="19"/>
    </row>
    <row r="15" spans="2:9" hidden="1" x14ac:dyDescent="0.4">
      <c r="B15" s="13" t="s">
        <v>30</v>
      </c>
      <c r="C15" s="13" t="s">
        <v>31</v>
      </c>
      <c r="D15" s="339" t="s">
        <v>27</v>
      </c>
      <c r="E15" s="148"/>
      <c r="F15" s="148"/>
      <c r="G15" s="148"/>
      <c r="H15" s="19"/>
      <c r="I15" s="19"/>
    </row>
    <row r="16" spans="2:9" x14ac:dyDescent="0.4">
      <c r="B16" s="13" t="s">
        <v>32</v>
      </c>
      <c r="C16" s="13" t="s">
        <v>33</v>
      </c>
      <c r="D16" s="339" t="s">
        <v>27</v>
      </c>
      <c r="E16" s="148"/>
      <c r="F16" s="148"/>
      <c r="G16" s="148"/>
      <c r="H16" s="19"/>
      <c r="I16" s="19"/>
    </row>
    <row r="17" spans="2:9" x14ac:dyDescent="0.4">
      <c r="B17" s="13" t="s">
        <v>1921</v>
      </c>
      <c r="C17" s="13" t="s">
        <v>34</v>
      </c>
      <c r="D17" s="339" t="s">
        <v>24</v>
      </c>
      <c r="E17" s="19"/>
      <c r="F17" s="19"/>
      <c r="G17" s="148"/>
      <c r="H17" s="19"/>
      <c r="I17" s="19"/>
    </row>
    <row r="19" spans="2:9" x14ac:dyDescent="0.4">
      <c r="B19" s="19"/>
      <c r="C19" s="19"/>
      <c r="D19" s="19"/>
      <c r="E19" s="19"/>
      <c r="F19" s="19"/>
      <c r="G19" s="19"/>
      <c r="H19" s="19"/>
      <c r="I19" s="19"/>
    </row>
    <row r="20" spans="2:9" x14ac:dyDescent="0.4">
      <c r="B20" s="19"/>
      <c r="C20" s="19"/>
      <c r="D20" s="19"/>
      <c r="E20" s="19"/>
      <c r="F20" s="19"/>
      <c r="G20" s="19"/>
      <c r="H20" s="19"/>
      <c r="I20" s="19"/>
    </row>
    <row r="21" spans="2:9" x14ac:dyDescent="0.4">
      <c r="B21" s="19"/>
      <c r="C21" s="19"/>
      <c r="D21" s="19"/>
      <c r="E21" s="19"/>
      <c r="F21" s="19"/>
      <c r="G21" s="19"/>
      <c r="H21" s="19"/>
      <c r="I21" s="19"/>
    </row>
    <row r="22" spans="2:9" x14ac:dyDescent="0.4">
      <c r="B22" s="19"/>
      <c r="C22" s="19"/>
      <c r="D22" s="19"/>
      <c r="E22" s="19"/>
      <c r="F22" s="19"/>
      <c r="G22" s="19"/>
      <c r="H22" s="19"/>
      <c r="I22" s="19"/>
    </row>
    <row r="23" spans="2:9" x14ac:dyDescent="0.4">
      <c r="C23" s="19"/>
      <c r="D23" s="19"/>
      <c r="E23" s="19"/>
      <c r="F23" s="19"/>
      <c r="G23" s="19"/>
      <c r="H23" s="19"/>
      <c r="I23" s="19"/>
    </row>
    <row r="24" spans="2:9" x14ac:dyDescent="0.4">
      <c r="B24" s="19"/>
      <c r="C24" s="19"/>
      <c r="D24" s="19"/>
      <c r="E24" s="19"/>
      <c r="F24" s="19"/>
      <c r="G24" s="19"/>
      <c r="H24" s="19"/>
      <c r="I24" s="19"/>
    </row>
    <row r="25" spans="2:9" x14ac:dyDescent="0.4">
      <c r="B25" s="19"/>
      <c r="C25" s="19"/>
      <c r="D25" s="19"/>
      <c r="E25" s="19"/>
      <c r="F25" s="19"/>
      <c r="G25" s="19"/>
      <c r="H25" s="19"/>
      <c r="I25" s="19"/>
    </row>
    <row r="26" spans="2:9" x14ac:dyDescent="0.4">
      <c r="B26" s="19"/>
      <c r="C26" s="19"/>
      <c r="D26" s="19"/>
      <c r="E26" s="19"/>
      <c r="F26" s="19"/>
      <c r="G26" s="19"/>
      <c r="H26" s="19"/>
      <c r="I26" s="19"/>
    </row>
    <row r="27" spans="2:9" x14ac:dyDescent="0.4">
      <c r="B27" s="73"/>
      <c r="C27" s="19"/>
      <c r="D27" s="19"/>
      <c r="E27" s="19"/>
      <c r="F27" s="19"/>
      <c r="G27" s="19"/>
      <c r="H27" s="19"/>
      <c r="I27" s="19"/>
    </row>
    <row r="28" spans="2:9" x14ac:dyDescent="0.4">
      <c r="B28" s="73"/>
      <c r="C28" s="19"/>
      <c r="D28" s="19"/>
      <c r="E28" s="19"/>
      <c r="F28" s="19"/>
      <c r="G28" s="19"/>
      <c r="H28" s="19"/>
      <c r="I28" s="19"/>
    </row>
    <row r="29" spans="2:9" x14ac:dyDescent="0.4">
      <c r="B29" s="73"/>
      <c r="C29" s="19"/>
      <c r="D29" s="19"/>
      <c r="E29" s="19"/>
      <c r="F29" s="19"/>
      <c r="G29" s="19"/>
      <c r="H29" s="19"/>
      <c r="I29" s="19"/>
    </row>
    <row r="30" spans="2:9" x14ac:dyDescent="0.4">
      <c r="B30" s="73"/>
      <c r="C30" s="19"/>
      <c r="D30" s="19"/>
      <c r="E30" s="19"/>
      <c r="F30" s="19"/>
      <c r="G30" s="19"/>
      <c r="H30" s="19"/>
      <c r="I30" s="19"/>
    </row>
    <row r="31" spans="2:9" x14ac:dyDescent="0.4">
      <c r="B31" s="73"/>
      <c r="C31" s="19"/>
      <c r="D31" s="19"/>
      <c r="E31" s="19"/>
      <c r="F31" s="19"/>
      <c r="G31" s="19"/>
      <c r="H31" s="19"/>
      <c r="I31" s="19"/>
    </row>
    <row r="32" spans="2:9" x14ac:dyDescent="0.4">
      <c r="B32" s="73"/>
      <c r="C32" s="19"/>
      <c r="D32" s="19"/>
      <c r="E32" s="19"/>
      <c r="F32" s="19"/>
      <c r="G32" s="19"/>
      <c r="H32" s="19"/>
      <c r="I32" s="19"/>
    </row>
    <row r="33" spans="2:9" x14ac:dyDescent="0.4">
      <c r="B33" s="73"/>
      <c r="C33" s="19"/>
      <c r="D33" s="19"/>
      <c r="E33" s="19"/>
      <c r="F33" s="19"/>
      <c r="G33" s="19"/>
      <c r="H33" s="19"/>
      <c r="I33" s="19"/>
    </row>
    <row r="34" spans="2:9" x14ac:dyDescent="0.4">
      <c r="B34" s="73"/>
      <c r="C34" s="19"/>
      <c r="D34" s="19"/>
      <c r="E34" s="19"/>
      <c r="F34" s="19"/>
      <c r="G34" s="19"/>
      <c r="H34" s="19"/>
      <c r="I34" s="19"/>
    </row>
    <row r="35" spans="2:9" x14ac:dyDescent="0.4">
      <c r="B35" s="73"/>
      <c r="C35" s="19"/>
      <c r="D35" s="19"/>
      <c r="E35" s="19"/>
      <c r="F35" s="19"/>
      <c r="G35" s="19"/>
      <c r="H35" s="19"/>
      <c r="I35" s="19"/>
    </row>
    <row r="36" spans="2:9" x14ac:dyDescent="0.4">
      <c r="B36" s="73"/>
      <c r="C36" s="19"/>
      <c r="D36" s="19"/>
      <c r="E36" s="19"/>
      <c r="F36" s="19"/>
      <c r="G36" s="19"/>
      <c r="H36" s="19"/>
      <c r="I36" s="19"/>
    </row>
    <row r="37" spans="2:9" x14ac:dyDescent="0.4">
      <c r="B37" s="73"/>
      <c r="C37" s="19"/>
      <c r="D37" s="19"/>
      <c r="E37" s="19"/>
      <c r="F37" s="19"/>
      <c r="G37" s="19"/>
      <c r="H37" s="19"/>
      <c r="I37" s="19"/>
    </row>
    <row r="38" spans="2:9" x14ac:dyDescent="0.4">
      <c r="B38" s="73"/>
    </row>
    <row r="39" spans="2:9" x14ac:dyDescent="0.4">
      <c r="B39" s="73"/>
    </row>
    <row r="40" spans="2:9" x14ac:dyDescent="0.4">
      <c r="B40" s="73"/>
    </row>
    <row r="41" spans="2:9" x14ac:dyDescent="0.4">
      <c r="B41" s="73"/>
    </row>
    <row r="42" spans="2:9" x14ac:dyDescent="0.4">
      <c r="B42" s="73"/>
    </row>
    <row r="43" spans="2:9" x14ac:dyDescent="0.4">
      <c r="B43" s="73"/>
    </row>
    <row r="44" spans="2:9" x14ac:dyDescent="0.4">
      <c r="B44" s="73"/>
    </row>
    <row r="45" spans="2:9" x14ac:dyDescent="0.4">
      <c r="B45" s="73"/>
    </row>
    <row r="46" spans="2:9" x14ac:dyDescent="0.4">
      <c r="B46" s="73"/>
    </row>
    <row r="47" spans="2:9" x14ac:dyDescent="0.4">
      <c r="B47" s="73"/>
    </row>
    <row r="67" spans="2:3" x14ac:dyDescent="0.4">
      <c r="B67" s="316"/>
      <c r="C67" s="316"/>
    </row>
    <row r="68" spans="2:3" x14ac:dyDescent="0.4">
      <c r="B68" s="317"/>
      <c r="C68" s="317"/>
    </row>
    <row r="69" spans="2:3" x14ac:dyDescent="0.4">
      <c r="B69" s="317"/>
      <c r="C69" s="317"/>
    </row>
    <row r="70" spans="2:3" x14ac:dyDescent="0.4">
      <c r="B70" s="317"/>
      <c r="C70" s="317"/>
    </row>
    <row r="71" spans="2:3" x14ac:dyDescent="0.4">
      <c r="B71" s="317"/>
    </row>
    <row r="72" spans="2:3" x14ac:dyDescent="0.4">
      <c r="B72" s="317"/>
    </row>
    <row r="73" spans="2:3" x14ac:dyDescent="0.4">
      <c r="B73" s="317"/>
    </row>
    <row r="93" spans="2:3" x14ac:dyDescent="0.4">
      <c r="B93" s="316"/>
      <c r="C93" s="316"/>
    </row>
    <row r="94" spans="2:3" x14ac:dyDescent="0.4">
      <c r="B94" s="17"/>
      <c r="C94" s="318"/>
    </row>
    <row r="95" spans="2:3" x14ac:dyDescent="0.4">
      <c r="B95" s="17"/>
      <c r="C95" s="318"/>
    </row>
  </sheetData>
  <sheetProtection algorithmName="SHA-512" hashValue="au+JjHV9VJNuevjH0r1iHMbjGONzNLf3tnjgERwGy1eKWOhjKWr3wvNWDIcxt41ogneUPGZ07EyqtaOBsDBYYA==" saltValue="VSEAfhlsK7hLVDtYeOG4vw==" spinCount="100000" sheet="1" objects="1" scenarios="1"/>
  <phoneticPr fontId="6" type="noConversion"/>
  <hyperlinks>
    <hyperlink ref="D4" location="Site and production details!A1" display="Site and production details!A1" xr:uid="{13263AB7-9314-4448-8B06-9A033008EAB8}"/>
    <hyperlink ref="D5" location="'Total escape count'!A1" display="'Total escape count'!A1" xr:uid="{CEBFF267-A551-43F6-B011-8C41ABA2A83D}"/>
    <hyperlink ref="D6" location="'Benthic - MB t1 and t2'!A1" display="'Benthic - MB t1 and t2'!A1" xr:uid="{7CA70B9B-B542-4607-B2E6-4F3E22D5AD93}"/>
    <hyperlink ref="D7" location="'Benthic - MB t3'!A1" display="'Benthic - MB t3'!A1" xr:uid="{5E50B447-3C51-46E6-BBA0-EAD0A937A441}"/>
    <hyperlink ref="D8" location="'Benthic - M t1 and t2'!A1" display="'Benthic - M t1 and t2'!A1" xr:uid="{5FE62A57-ADF8-4A0B-9972-3E9A5D22D0AB}"/>
    <hyperlink ref="D9" location="'Benthic - M t3'!A1" display="'Benthic - M t3'!A1" xr:uid="{E70A2620-52D3-404B-92C9-0AF693FD3A61}"/>
    <hyperlink ref="D10" location="'Benthic - L&amp;R t1 and t2'!A1" display="'Benthic - L&amp;R t1 and t2'!A1" xr:uid="{E7FF9402-0EE7-4D96-8774-79EC83CC3854}"/>
    <hyperlink ref="D11" location="'Benthic impacts - L&amp;R t3'!A1" display="'Benthic impacts - L&amp;R t3'!A1" xr:uid="{F0F01AC8-D284-4316-A8FF-30039F5A6906}"/>
    <hyperlink ref="D12" location="Feed!A1" display="Feed!A1" xr:uid="{044C9546-8349-4C8B-A41B-35D697CDC8C0}"/>
    <hyperlink ref="D13" location="Mortality!A1" display="Mortality!A1" xr:uid="{CDD7FDED-FEE7-4466-A1C2-44E8ED09384E}"/>
    <hyperlink ref="D14" location="Mortality!A1" display="Mortality!A1" xr:uid="{D5CB2E0F-59DE-4AA6-9566-506503C434AD}"/>
    <hyperlink ref="D15" location="Mortality!A1" display="Mortality!A1" xr:uid="{168C34F3-F730-45E0-A836-3237C3560DCB}"/>
    <hyperlink ref="D16" location="Mortality!A1" display="Mortality!A1" xr:uid="{1C8451EB-8426-43A2-BD38-10F6B95102E0}"/>
    <hyperlink ref="D17" location="Veterinary therapeutants!A1" display="Veterinary therapeutants!A1" xr:uid="{C616D118-FA59-4D0C-AC50-A7FFFDFBD08D}"/>
    <hyperlink ref="D4" location="'Site and production details'!A1" display="Site and Production details" xr:uid="{C985AE41-6AAA-4C66-9B86-2F4833F68B54}"/>
    <hyperlink ref="D5" location="'Known escapes'!A1" display="Known escapes" xr:uid="{72D8D586-41A4-4040-A534-1DF0D07E2B52}"/>
    <hyperlink ref="D14" location="'Mortality - Cleaner fish'!A1" display="Mortality - Cleaner fish" xr:uid="{DF924786-2BFE-44A6-943D-C0A08EA64B05}"/>
    <hyperlink ref="D17" location="'Veterinary therapeutants'!A1" display="Veterinary therapeutants" xr:uid="{42134E3D-D73F-4EF5-BDFE-AC412D45EF94}"/>
    <hyperlink ref="D6" location="'Benthic - MB Level 1 &amp; 2'!A1" display="Benthic impacts - MB L1 &amp; L2" xr:uid="{ABC2FEEA-E976-442D-887B-4D5221D975B1}"/>
    <hyperlink ref="D7" location="'Benthic - MB Level 3'!A1" display="Benthic impacts - MB L3" xr:uid="{D9D7435E-7DFE-4DC2-8A1D-64B722DA4F86}"/>
    <hyperlink ref="D12" location="Feed!A1" display="Feed" xr:uid="{AAEF7BD5-9A2B-46A4-8534-0C6AF5DC4E1F}"/>
    <hyperlink ref="D8" location="'Benthic - M  Level 1 &amp; 2'!A1" display="Benthic impacts - M L1 &amp; L2" xr:uid="{FA807FD1-B615-4B77-B0BD-EC5894CD1C06}"/>
    <hyperlink ref="D9" location="'Benthic - M  Level 3'!A1" display="Benthic impacts - M L3" xr:uid="{2F05B4A2-0FC7-43E3-83D9-5FBDF32197D4}"/>
    <hyperlink ref="D10" location="'Benthic - L&amp;R Level 1 &amp; 2'!A1" display="Benthic impacts - L&amp;R L1 &amp; L2" xr:uid="{808DD23E-2DCF-43AB-84D4-3CC6666EF0E1}"/>
    <hyperlink ref="D11" location="'Benthic - L&amp;R  Level 3'!A1" display="Benthic impacts - L&amp;R L3" xr:uid="{2DAE8759-9F7E-4CE3-B522-E5569E7C7A9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259AE-C198-4577-85BF-2D312D8E6786}">
  <sheetPr codeName="Sheet19">
    <tabColor theme="9" tint="0.59999389629810485"/>
  </sheetPr>
  <dimension ref="B2:U12"/>
  <sheetViews>
    <sheetView zoomScale="80" zoomScaleNormal="80" workbookViewId="0"/>
  </sheetViews>
  <sheetFormatPr defaultColWidth="9" defaultRowHeight="16.8" x14ac:dyDescent="0.4"/>
  <cols>
    <col min="1" max="1" width="9" style="14"/>
    <col min="2" max="2" width="9" style="14" hidden="1" customWidth="1"/>
    <col min="3" max="3" width="19.21875" style="14" customWidth="1"/>
    <col min="4" max="4" width="13" style="14" customWidth="1"/>
    <col min="5" max="5" width="25.21875" style="14" bestFit="1" customWidth="1"/>
    <col min="6" max="6" width="10" style="14" bestFit="1" customWidth="1"/>
    <col min="7" max="7" width="25.44140625" style="14" bestFit="1" customWidth="1"/>
    <col min="8" max="8" width="24" style="14" bestFit="1" customWidth="1"/>
    <col min="9" max="10" width="24" style="14" customWidth="1"/>
    <col min="11" max="11" width="25.21875" style="14" bestFit="1" customWidth="1"/>
    <col min="12" max="14" width="30.5546875" style="14" customWidth="1"/>
    <col min="15" max="15" width="18.21875" style="14" bestFit="1" customWidth="1"/>
    <col min="16" max="16" width="16.5546875" style="14" bestFit="1" customWidth="1"/>
    <col min="17" max="17" width="33" style="14" bestFit="1" customWidth="1"/>
    <col min="18" max="18" width="31.5546875" style="14" bestFit="1" customWidth="1"/>
    <col min="19" max="19" width="17.21875" style="14" customWidth="1"/>
    <col min="20" max="20" width="11" style="14" customWidth="1"/>
    <col min="21" max="16384" width="9" style="14"/>
  </cols>
  <sheetData>
    <row r="2" spans="3:21" x14ac:dyDescent="0.4">
      <c r="C2" s="17" t="s">
        <v>39</v>
      </c>
    </row>
    <row r="3" spans="3:21" hidden="1" x14ac:dyDescent="0.4">
      <c r="C3" s="14">
        <v>1.1000000000000001</v>
      </c>
      <c r="D3" s="14">
        <v>1.2</v>
      </c>
      <c r="E3" s="14">
        <v>1.3</v>
      </c>
      <c r="F3" s="14">
        <v>1.4</v>
      </c>
      <c r="G3" s="14">
        <v>1.5</v>
      </c>
      <c r="H3" s="14">
        <v>1.6</v>
      </c>
      <c r="K3" s="14">
        <v>1.9</v>
      </c>
      <c r="L3" s="14">
        <v>1.1100000000000001</v>
      </c>
      <c r="O3" s="14">
        <v>1.1399999999999999</v>
      </c>
      <c r="P3" s="14">
        <v>1.1499999999999999</v>
      </c>
      <c r="Q3" s="14">
        <v>1.1599999999999999</v>
      </c>
      <c r="R3" s="14">
        <v>1.17</v>
      </c>
      <c r="S3" s="14">
        <v>1.18</v>
      </c>
    </row>
    <row r="4" spans="3:21" s="16" customFormat="1" ht="50.4" x14ac:dyDescent="0.4">
      <c r="C4" s="22" t="s">
        <v>40</v>
      </c>
      <c r="D4" s="22" t="s">
        <v>41</v>
      </c>
      <c r="E4" s="22" t="s">
        <v>42</v>
      </c>
      <c r="F4" s="22" t="s">
        <v>43</v>
      </c>
      <c r="G4" s="22" t="s">
        <v>44</v>
      </c>
      <c r="H4" s="22" t="s">
        <v>45</v>
      </c>
      <c r="I4" s="22" t="s">
        <v>1923</v>
      </c>
      <c r="J4" s="22" t="s">
        <v>1924</v>
      </c>
      <c r="K4" s="22" t="s">
        <v>46</v>
      </c>
      <c r="L4" s="22" t="s">
        <v>47</v>
      </c>
      <c r="M4" s="22" t="s">
        <v>1925</v>
      </c>
      <c r="N4" s="22" t="s">
        <v>1926</v>
      </c>
      <c r="O4" s="23" t="s">
        <v>48</v>
      </c>
      <c r="P4" s="23" t="s">
        <v>49</v>
      </c>
      <c r="Q4" s="22" t="s">
        <v>50</v>
      </c>
      <c r="R4" s="24" t="s">
        <v>51</v>
      </c>
      <c r="S4" s="25" t="s">
        <v>52</v>
      </c>
      <c r="T4" s="23"/>
    </row>
    <row r="5" spans="3:21" x14ac:dyDescent="0.4">
      <c r="C5" s="27"/>
      <c r="D5" s="27"/>
      <c r="E5" s="27"/>
      <c r="F5" s="30"/>
      <c r="G5" s="151"/>
      <c r="H5" s="151"/>
      <c r="I5" s="29"/>
      <c r="J5" s="29"/>
      <c r="K5" s="29"/>
      <c r="L5" s="29"/>
      <c r="M5" s="29"/>
      <c r="N5" s="29"/>
      <c r="O5" s="30"/>
      <c r="P5" s="30"/>
      <c r="Q5" s="29"/>
      <c r="R5" s="26" t="str">
        <f>IF(Table126[[#This Row],[Site name]]= "", "",(Table126[[#This Row],[ASC certified harvested production volume (tonnes)]])-(Table126[[#This Row],[ASC certified stocked volume (tonnes)]]))</f>
        <v/>
      </c>
      <c r="S5" s="28"/>
    </row>
    <row r="6" spans="3:21" x14ac:dyDescent="0.4">
      <c r="C6" s="27"/>
      <c r="D6" s="32" t="str">
        <f>IF(Table126[[#This Row],[Site name]]="","",IF(Table126[[#This Row],[Site name]]=$C$5,$D$5,""))</f>
        <v/>
      </c>
      <c r="E6" s="27"/>
      <c r="F6" s="30"/>
      <c r="G6" s="151"/>
      <c r="H6" s="151"/>
      <c r="I6" s="29"/>
      <c r="J6" s="29"/>
      <c r="K6" s="29"/>
      <c r="L6" s="29"/>
      <c r="M6" s="29"/>
      <c r="N6" s="29"/>
      <c r="O6" s="30"/>
      <c r="P6" s="30"/>
      <c r="Q6" s="29"/>
      <c r="R6" s="26"/>
      <c r="S6" s="28"/>
    </row>
    <row r="7" spans="3:21" x14ac:dyDescent="0.4">
      <c r="C7" s="27"/>
      <c r="D7" s="32" t="str">
        <f>IF(Table126[[#This Row],[Site name]]="","",IF(Table126[[#This Row],[Site name]]=$C$5,$D$5,""))</f>
        <v/>
      </c>
      <c r="E7" s="27"/>
      <c r="F7" s="30"/>
      <c r="G7" s="151"/>
      <c r="H7" s="151"/>
      <c r="I7" s="29"/>
      <c r="J7" s="29"/>
      <c r="K7" s="29"/>
      <c r="L7" s="29"/>
      <c r="M7" s="29"/>
      <c r="N7" s="29"/>
      <c r="O7" s="30"/>
      <c r="P7" s="30"/>
      <c r="Q7" s="29"/>
      <c r="R7" s="26" t="str">
        <f>IF(Table126[[#This Row],[Site name]]= "", "",(Table126[[#This Row],[ASC certified harvested production volume (tonnes)]])-(Table126[[#This Row],[ASC certified stocked volume (tonnes)]]))</f>
        <v/>
      </c>
      <c r="S7" s="28"/>
    </row>
    <row r="8" spans="3:21" x14ac:dyDescent="0.4">
      <c r="C8" s="27"/>
      <c r="D8" s="32" t="str">
        <f>IF(Table126[[#This Row],[Site name]]="","",IF(Table126[[#This Row],[Site name]]=$C$5,$D$5,""))</f>
        <v/>
      </c>
      <c r="E8" s="27"/>
      <c r="F8" s="30"/>
      <c r="G8" s="151"/>
      <c r="H8" s="151"/>
      <c r="I8" s="29"/>
      <c r="J8" s="29"/>
      <c r="K8" s="29"/>
      <c r="L8" s="29"/>
      <c r="M8" s="29"/>
      <c r="N8" s="29"/>
      <c r="O8" s="30"/>
      <c r="P8" s="30"/>
      <c r="Q8" s="29"/>
      <c r="R8" s="26" t="str">
        <f>IF(Table126[[#This Row],[Site name]]= "", "",(Table126[[#This Row],[ASC certified harvested production volume (tonnes)]])-(Table126[[#This Row],[ASC certified stocked volume (tonnes)]]))</f>
        <v/>
      </c>
      <c r="S8" s="28"/>
    </row>
    <row r="9" spans="3:21" x14ac:dyDescent="0.4">
      <c r="C9" s="27"/>
      <c r="D9" s="32" t="str">
        <f>IF(Table126[[#This Row],[Site name]]="","",IF(Table126[[#This Row],[Site name]]=$C$5,$D$5,""))</f>
        <v/>
      </c>
      <c r="E9" s="27"/>
      <c r="F9" s="30"/>
      <c r="G9" s="151"/>
      <c r="H9" s="151"/>
      <c r="I9" s="29"/>
      <c r="J9" s="29"/>
      <c r="K9" s="29"/>
      <c r="L9" s="29"/>
      <c r="M9" s="29"/>
      <c r="N9" s="29"/>
      <c r="O9" s="30"/>
      <c r="P9" s="30"/>
      <c r="Q9" s="29"/>
      <c r="R9" s="26" t="str">
        <f>IF(Table126[[#This Row],[Site name]]= "", "",(Table126[[#This Row],[ASC certified harvested production volume (tonnes)]])-(Table126[[#This Row],[ASC certified stocked volume (tonnes)]]))</f>
        <v/>
      </c>
      <c r="S9" s="28"/>
    </row>
    <row r="10" spans="3:21" x14ac:dyDescent="0.4">
      <c r="C10" s="27"/>
      <c r="D10" s="32" t="str">
        <f>IF(Table126[[#This Row],[Site name]]="","",IF(Table126[[#This Row],[Site name]]=$C$5,$D$5,""))</f>
        <v/>
      </c>
      <c r="E10" s="27"/>
      <c r="F10" s="30"/>
      <c r="G10" s="151"/>
      <c r="H10" s="151"/>
      <c r="I10" s="29"/>
      <c r="J10" s="29"/>
      <c r="K10" s="29"/>
      <c r="L10" s="29"/>
      <c r="M10" s="29"/>
      <c r="N10" s="29"/>
      <c r="O10" s="30"/>
      <c r="P10" s="30"/>
      <c r="Q10" s="29"/>
      <c r="R10" s="26" t="str">
        <f>IF(Table126[[#This Row],[Site name]]= "", "",(Table126[[#This Row],[ASC certified harvested production volume (tonnes)]])-(Table126[[#This Row],[ASC certified stocked volume (tonnes)]]))</f>
        <v/>
      </c>
      <c r="S10" s="28"/>
    </row>
    <row r="11" spans="3:21" x14ac:dyDescent="0.4">
      <c r="U11" s="19"/>
    </row>
    <row r="12" spans="3:21" x14ac:dyDescent="0.4">
      <c r="O12" s="21"/>
    </row>
  </sheetData>
  <sheetProtection algorithmName="SHA-512" hashValue="pDzHIfZ3I0Ee6ifwEm0/VIWFFCcZh+2UZW86M50QiYsbBHfPgID0itt/H+Z7/k9gM2R6FWziC3WTt74UyQTaoQ==" saltValue="mVoRaAxe1nV2gRbv6fn3Ng==" spinCount="100000" sheet="1" objects="1" scenarios="1"/>
  <phoneticPr fontId="6" type="noConversion"/>
  <dataValidations count="6">
    <dataValidation type="decimal" operator="greaterThanOrEqual" allowBlank="1" showInputMessage="1" showErrorMessage="1" sqref="Q5:Q10 K9:N10 K5:N7 I5:J10" xr:uid="{DDA18046-72F1-4B0B-A909-32B8104DB78C}">
      <formula1>0</formula1>
    </dataValidation>
    <dataValidation type="textLength" operator="lessThan" allowBlank="1" showInputMessage="1" showErrorMessage="1" sqref="S5:S10" xr:uid="{B5E54653-338A-4187-8C23-940515030E23}">
      <formula1>3000</formula1>
    </dataValidation>
    <dataValidation type="custom" allowBlank="1" showInputMessage="1" showErrorMessage="1" error="Please indicate for each farm site the ASC site ID as indicated in MyASC. The ASC site ID consists of one character (S), followed by seven numbers, for example S0001234" sqref="D5" xr:uid="{AA86CF7E-20E2-44B5-AC3E-541052CE76BA}">
      <formula1>AND(LEFT(D5)="s", LEN(D5)=8)</formula1>
    </dataValidation>
    <dataValidation type="date" allowBlank="1" showInputMessage="1" showErrorMessage="1" sqref="G5:H10" xr:uid="{D736A6B0-9A53-4BFE-BFB0-CD6DE6380FBE}">
      <formula1>43831</formula1>
      <formula2>73051</formula2>
    </dataValidation>
    <dataValidation type="whole" operator="greaterThanOrEqual" allowBlank="1" showInputMessage="1" showErrorMessage="1" sqref="O9:P10 O5:P7" xr:uid="{8B8138EC-BE2D-4BD0-A780-31202187FC8E}">
      <formula1>0</formula1>
    </dataValidation>
    <dataValidation type="list" allowBlank="1" showInputMessage="1" showErrorMessage="1" sqref="C6:C10" xr:uid="{8F75718F-6058-423A-9E4A-F6D321EA2109}">
      <formula1>$C$5</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xr:uid="{E9219F07-2759-4BC8-A7DD-20DD5FDF3674}">
          <x14:formula1>
            <xm:f>'Dropdown tables - Production'!$U$2:$U$1602</xm:f>
          </x14:formula1>
          <xm:sqref>E5:E10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8EB5D-79B7-4E70-A4DF-36CF68E0AECE}">
  <sheetPr codeName="Sheet20">
    <tabColor theme="9" tint="0.59999389629810485"/>
  </sheetPr>
  <dimension ref="C2:N50"/>
  <sheetViews>
    <sheetView zoomScale="80" zoomScaleNormal="80" workbookViewId="0"/>
  </sheetViews>
  <sheetFormatPr defaultColWidth="9" defaultRowHeight="16.8" x14ac:dyDescent="0.4"/>
  <cols>
    <col min="1" max="1" width="9" style="14"/>
    <col min="2" max="2" width="0" style="14" hidden="1" customWidth="1"/>
    <col min="3" max="3" width="25.77734375" style="32" bestFit="1" customWidth="1"/>
    <col min="4" max="4" width="10.109375" style="32" bestFit="1" customWidth="1"/>
    <col min="5" max="5" width="16.109375" style="14" bestFit="1" customWidth="1"/>
    <col min="6" max="6" width="23.21875" style="14" customWidth="1"/>
    <col min="7" max="7" width="25.21875" style="14" bestFit="1" customWidth="1"/>
    <col min="8" max="8" width="17.33203125" style="14" customWidth="1"/>
    <col min="9" max="9" width="9" style="14"/>
    <col min="10" max="10" width="24.77734375" style="14" customWidth="1"/>
    <col min="11" max="11" width="21.5546875" style="14" bestFit="1" customWidth="1"/>
    <col min="12" max="12" width="18.5546875" style="14" bestFit="1" customWidth="1"/>
    <col min="13" max="13" width="18.88671875" style="14" bestFit="1" customWidth="1"/>
    <col min="14" max="14" width="17.77734375" style="14" customWidth="1"/>
    <col min="15" max="16384" width="9" style="14"/>
  </cols>
  <sheetData>
    <row r="2" spans="3:14" x14ac:dyDescent="0.4">
      <c r="C2" s="17" t="s">
        <v>54</v>
      </c>
      <c r="J2" s="31" t="s">
        <v>1916</v>
      </c>
      <c r="K2" s="31"/>
    </row>
    <row r="3" spans="3:14" s="15" customFormat="1" hidden="1" x14ac:dyDescent="0.4">
      <c r="C3" s="15" t="s">
        <v>55</v>
      </c>
      <c r="D3" s="15" t="s">
        <v>56</v>
      </c>
      <c r="E3" s="15" t="s">
        <v>57</v>
      </c>
      <c r="F3" s="15" t="s">
        <v>58</v>
      </c>
      <c r="G3" s="15" t="s">
        <v>59</v>
      </c>
      <c r="H3" s="15" t="s">
        <v>1901</v>
      </c>
      <c r="J3" s="15" t="s">
        <v>60</v>
      </c>
      <c r="L3" s="15" t="s">
        <v>61</v>
      </c>
      <c r="M3" s="15" t="s">
        <v>1902</v>
      </c>
      <c r="N3" s="15" t="s">
        <v>62</v>
      </c>
    </row>
    <row r="4" spans="3:14" ht="34.200000000000003" thickBot="1" x14ac:dyDescent="0.45">
      <c r="C4" s="152" t="s">
        <v>63</v>
      </c>
      <c r="D4" s="153" t="s">
        <v>64</v>
      </c>
      <c r="E4" s="149" t="s">
        <v>65</v>
      </c>
      <c r="F4" s="33" t="s">
        <v>66</v>
      </c>
      <c r="G4" s="22" t="s">
        <v>67</v>
      </c>
      <c r="H4" s="153" t="s">
        <v>52</v>
      </c>
      <c r="J4" s="325" t="s">
        <v>68</v>
      </c>
      <c r="K4" s="343" t="s">
        <v>1925</v>
      </c>
      <c r="L4" s="106" t="s">
        <v>48</v>
      </c>
      <c r="M4" s="106" t="s">
        <v>69</v>
      </c>
      <c r="N4" s="106" t="s">
        <v>70</v>
      </c>
    </row>
    <row r="5" spans="3:14" ht="17.399999999999999" thickTop="1" x14ac:dyDescent="0.4">
      <c r="C5" s="27"/>
      <c r="D5" s="28"/>
      <c r="E5" s="158"/>
      <c r="F5" s="36"/>
      <c r="G5" s="30"/>
      <c r="H5" s="28"/>
      <c r="J5" s="326">
        <f>'Dropdown tables - Production'!G3</f>
        <v>0</v>
      </c>
      <c r="K5" s="340"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5" s="327" t="str">
        <f>IF(IF(J5=0, "", SUMIFS(Table126[Stocking count 
('# animals)],Table126[Species in production (Latin name) (select)],Table19[[#This Row],[Species in production]]))=0, "0",IF(J5=0, "", SUMIFS(Table126[Stocking count 
('# animals)],Table126[Species in production (Latin name) (select)],Table19[[#This Row],[Species in production]])))</f>
        <v/>
      </c>
      <c r="M5" s="340" t="str">
        <f>IF(IF(J5=0, "", SUMIFS(Table2[Number of escapees ('# animals)],Table2[Species in production (latin name) (select)],Table19[[#This Row],[Species in production]]))=0, "0",IF(J5=0, "", SUMIFS(Table2[Number of escapees ('# animals)],Table2[Species in production (latin name) (select)],Table19[[#This Row],[Species in production]])))</f>
        <v/>
      </c>
      <c r="N5" s="340" t="str">
        <f>IFERROR(IF(J5= 0, "", ((Table19[[#This Row],[Known escapes ('# animals)]]/((Table19[[#This Row],[Stocking count 
('# animals)]]+Table19[[#This Row],[Standing stock, start yr ('# animals)]])))*100)),"0")</f>
        <v/>
      </c>
    </row>
    <row r="6" spans="3:14" x14ac:dyDescent="0.4">
      <c r="C6" s="27"/>
      <c r="D6" s="28"/>
      <c r="E6" s="158"/>
      <c r="F6" s="36"/>
      <c r="G6" s="30"/>
      <c r="H6" s="28"/>
      <c r="J6" s="328">
        <f>'Dropdown tables - Production'!G4</f>
        <v>0</v>
      </c>
      <c r="K6"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6" s="329" t="str">
        <f>IF(IF(J6=0, "", SUMIFS(Table126[Stocking count 
('# animals)],Table126[Species in production (Latin name) (select)],Table19[[#This Row],[Species in production]]))=0, "0",IF(J6=0, "", SUMIFS(Table126[Stocking count 
('# animals)],Table126[Species in production (Latin name) (select)],Table19[[#This Row],[Species in production]])))</f>
        <v/>
      </c>
      <c r="M6" s="341" t="str">
        <f>IF(IF(J6=0, "", SUMIFS(Table2[Number of escapees ('# animals)],Table2[Species in production (latin name) (select)],Table19[[#This Row],[Species in production]]))=0, "0",IF(J6=0, "", SUMIFS(Table2[Number of escapees ('# animals)],Table2[Species in production (latin name) (select)],Table19[[#This Row],[Species in production]])))</f>
        <v/>
      </c>
      <c r="N6" s="341" t="str">
        <f>IFERROR(IF(J6= 0, "", ((Table19[[#This Row],[Known escapes ('# animals)]]/((Table19[[#This Row],[Stocking count 
('# animals)]]+Table19[[#This Row],[Standing stock, start yr ('# animals)]])))*100)),"0")</f>
        <v/>
      </c>
    </row>
    <row r="7" spans="3:14" x14ac:dyDescent="0.4">
      <c r="C7" s="27"/>
      <c r="D7" s="28"/>
      <c r="E7" s="158"/>
      <c r="F7" s="36"/>
      <c r="G7" s="30"/>
      <c r="H7" s="28"/>
      <c r="J7" s="328">
        <f>'Dropdown tables - Production'!G5</f>
        <v>0</v>
      </c>
      <c r="K7"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7" s="329" t="str">
        <f>IF(IF(J7=0, "", SUMIFS(Table126[Stocking count 
('# animals)],Table126[Species in production (Latin name) (select)],Table19[[#This Row],[Species in production]]))=0, "0",IF(J7=0, "", SUMIFS(Table126[Stocking count 
('# animals)],Table126[Species in production (Latin name) (select)],Table19[[#This Row],[Species in production]])))</f>
        <v/>
      </c>
      <c r="M7" s="341" t="str">
        <f>IF(IF(J7=0, "", SUMIFS(Table2[Number of escapees ('# animals)],Table2[Species in production (latin name) (select)],Table19[[#This Row],[Species in production]]))=0, "0",IF(J7=0, "", SUMIFS(Table2[Number of escapees ('# animals)],Table2[Species in production (latin name) (select)],Table19[[#This Row],[Species in production]])))</f>
        <v/>
      </c>
      <c r="N7" s="341" t="str">
        <f>IFERROR(IF(J7= 0, "", ((Table19[[#This Row],[Known escapes ('# animals)]]/((Table19[[#This Row],[Stocking count 
('# animals)]]+Table19[[#This Row],[Standing stock, start yr ('# animals)]])))*100)),"0")</f>
        <v/>
      </c>
    </row>
    <row r="8" spans="3:14" x14ac:dyDescent="0.4">
      <c r="C8" s="27"/>
      <c r="D8" s="28"/>
      <c r="E8" s="158"/>
      <c r="F8" s="36"/>
      <c r="G8" s="30"/>
      <c r="H8" s="28"/>
      <c r="J8" s="328">
        <f>'Dropdown tables - Production'!G6</f>
        <v>0</v>
      </c>
      <c r="K8"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8" s="329" t="str">
        <f>IF(IF(J8=0, "", SUMIFS(Table126[Stocking count 
('# animals)],Table126[Species in production (Latin name) (select)],Table19[[#This Row],[Species in production]]))=0, "0",IF(J8=0, "", SUMIFS(Table126[Stocking count 
('# animals)],Table126[Species in production (Latin name) (select)],Table19[[#This Row],[Species in production]])))</f>
        <v/>
      </c>
      <c r="M8" s="341" t="str">
        <f>IF(IF(J8=0, "", SUMIFS(Table2[Number of escapees ('# animals)],Table2[Species in production (latin name) (select)],Table19[[#This Row],[Species in production]]))=0, "0",IF(J8=0, "", SUMIFS(Table2[Number of escapees ('# animals)],Table2[Species in production (latin name) (select)],Table19[[#This Row],[Species in production]])))</f>
        <v/>
      </c>
      <c r="N8" s="341" t="str">
        <f>IFERROR(IF(J8= 0, "", ((Table19[[#This Row],[Known escapes ('# animals)]]/((Table19[[#This Row],[Stocking count 
('# animals)]]+Table19[[#This Row],[Standing stock, start yr ('# animals)]])))*100)),"0")</f>
        <v/>
      </c>
    </row>
    <row r="9" spans="3:14" x14ac:dyDescent="0.4">
      <c r="C9" s="27"/>
      <c r="D9" s="28"/>
      <c r="E9" s="158"/>
      <c r="F9" s="36"/>
      <c r="G9" s="30"/>
      <c r="H9" s="28"/>
      <c r="J9" s="328">
        <f>'Dropdown tables - Production'!G7</f>
        <v>0</v>
      </c>
      <c r="K9" s="341" t="str">
        <f>IF(IF(Table19[[#This Row],[Species in production]]=0, "", SUMIFS(Table126[Standing stock, start yr ('# animals)],Table126[Species in production (Latin name) (select)],Table19[[#This Row],[Species in production]]))=0, "0",IF(Table19[[#This Row],[Species in production]]=0, "", SUMIFS(Table126[Standing stock, start yr ('# animals)],Table126[Species in production (Latin name) (select)],Table19[[#This Row],[Species in production]])))</f>
        <v/>
      </c>
      <c r="L9" s="329" t="str">
        <f>IF(IF(J9=0, "", SUMIFS(Table126[Stocking count 
('# animals)],Table126[Species in production (Latin name) (select)],Table19[[#This Row],[Species in production]]))=0, "0",IF(J9=0, "", SUMIFS(Table126[Stocking count 
('# animals)],Table126[Species in production (Latin name) (select)],Table19[[#This Row],[Species in production]])))</f>
        <v/>
      </c>
      <c r="M9" s="341" t="str">
        <f>IF(IF(J9=0, "", SUMIFS(Table2[Number of escapees ('# animals)],Table2[Species in production (latin name) (select)],Table19[[#This Row],[Species in production]]))=0, "0",IF(J9=0, "", SUMIFS(Table2[Number of escapees ('# animals)],Table2[Species in production (latin name) (select)],Table19[[#This Row],[Species in production]])))</f>
        <v/>
      </c>
      <c r="N9" s="341" t="str">
        <f>IFERROR(IF(J9= 0, "", ((Table19[[#This Row],[Known escapes ('# animals)]]/((Table19[[#This Row],[Stocking count 
('# animals)]]+Table19[[#This Row],[Standing stock, start yr ('# animals)]])))*100)),"0")</f>
        <v/>
      </c>
    </row>
    <row r="10" spans="3:14" x14ac:dyDescent="0.4">
      <c r="C10" s="27"/>
      <c r="D10" s="28"/>
      <c r="E10" s="158"/>
      <c r="F10" s="36"/>
      <c r="G10" s="30"/>
      <c r="H10" s="28"/>
    </row>
    <row r="11" spans="3:14" x14ac:dyDescent="0.4">
      <c r="C11" s="27"/>
      <c r="D11" s="28"/>
      <c r="E11" s="158"/>
      <c r="F11" s="36"/>
      <c r="G11" s="30"/>
      <c r="H11" s="28"/>
    </row>
    <row r="12" spans="3:14" x14ac:dyDescent="0.4">
      <c r="C12" s="27"/>
      <c r="D12" s="28"/>
      <c r="E12" s="158"/>
      <c r="F12" s="36"/>
      <c r="G12" s="30"/>
      <c r="H12" s="28"/>
    </row>
    <row r="13" spans="3:14" x14ac:dyDescent="0.4">
      <c r="C13" s="27"/>
      <c r="D13" s="28"/>
      <c r="E13" s="158"/>
      <c r="F13" s="36"/>
      <c r="G13" s="30"/>
      <c r="H13" s="28"/>
    </row>
    <row r="14" spans="3:14" x14ac:dyDescent="0.4">
      <c r="C14" s="27"/>
      <c r="D14" s="28"/>
      <c r="E14" s="158"/>
      <c r="F14" s="36"/>
      <c r="G14" s="30"/>
      <c r="H14" s="28"/>
    </row>
    <row r="15" spans="3:14" x14ac:dyDescent="0.4">
      <c r="C15" s="27"/>
      <c r="D15" s="28"/>
      <c r="E15" s="158"/>
      <c r="F15" s="36"/>
      <c r="G15" s="30"/>
      <c r="H15" s="28"/>
    </row>
    <row r="16" spans="3:14" x14ac:dyDescent="0.4">
      <c r="C16" s="27"/>
      <c r="D16" s="28"/>
      <c r="E16" s="158"/>
      <c r="F16" s="36"/>
      <c r="G16" s="30"/>
      <c r="H16" s="28"/>
    </row>
    <row r="17" spans="3:12" x14ac:dyDescent="0.4">
      <c r="C17" s="27"/>
      <c r="D17" s="28"/>
      <c r="E17" s="158"/>
      <c r="F17" s="36"/>
      <c r="G17" s="30"/>
      <c r="H17" s="28"/>
    </row>
    <row r="18" spans="3:12" x14ac:dyDescent="0.4">
      <c r="C18" s="27"/>
      <c r="D18" s="28"/>
      <c r="E18" s="158"/>
      <c r="F18" s="36"/>
      <c r="G18" s="30"/>
      <c r="H18" s="28"/>
    </row>
    <row r="19" spans="3:12" x14ac:dyDescent="0.4">
      <c r="C19" s="27"/>
      <c r="D19" s="28"/>
      <c r="E19" s="158"/>
      <c r="F19" s="36"/>
      <c r="G19" s="30"/>
      <c r="H19" s="28"/>
    </row>
    <row r="20" spans="3:12" x14ac:dyDescent="0.4">
      <c r="C20" s="27"/>
      <c r="D20" s="28"/>
      <c r="E20" s="158"/>
      <c r="F20" s="36"/>
      <c r="G20" s="30"/>
      <c r="H20" s="28"/>
    </row>
    <row r="21" spans="3:12" x14ac:dyDescent="0.4">
      <c r="C21" s="27"/>
      <c r="D21" s="28"/>
      <c r="E21" s="158"/>
      <c r="F21" s="36"/>
      <c r="G21" s="30"/>
      <c r="H21" s="28"/>
    </row>
    <row r="22" spans="3:12" x14ac:dyDescent="0.4">
      <c r="C22" s="27"/>
      <c r="D22" s="28"/>
      <c r="E22" s="158"/>
      <c r="F22" s="36"/>
      <c r="G22" s="30"/>
      <c r="H22" s="28"/>
    </row>
    <row r="23" spans="3:12" x14ac:dyDescent="0.4">
      <c r="C23" s="27"/>
      <c r="D23" s="28"/>
      <c r="E23" s="158"/>
      <c r="F23" s="36"/>
      <c r="G23" s="30"/>
      <c r="H23" s="28"/>
    </row>
    <row r="24" spans="3:12" x14ac:dyDescent="0.4">
      <c r="C24" s="27"/>
      <c r="D24" s="28"/>
      <c r="E24" s="158"/>
      <c r="F24" s="36"/>
      <c r="G24" s="30"/>
      <c r="H24" s="28"/>
    </row>
    <row r="25" spans="3:12" x14ac:dyDescent="0.4">
      <c r="C25" s="27"/>
      <c r="D25" s="28"/>
      <c r="E25" s="158"/>
      <c r="F25" s="36"/>
      <c r="G25" s="30"/>
      <c r="H25" s="28"/>
    </row>
    <row r="26" spans="3:12" x14ac:dyDescent="0.4">
      <c r="C26" s="27"/>
      <c r="D26" s="28"/>
      <c r="E26" s="158"/>
      <c r="F26" s="36"/>
      <c r="G26" s="30"/>
      <c r="H26" s="28"/>
    </row>
    <row r="27" spans="3:12" x14ac:dyDescent="0.4">
      <c r="C27" s="27"/>
      <c r="D27" s="28"/>
      <c r="E27" s="158"/>
      <c r="F27" s="36"/>
      <c r="G27" s="30"/>
      <c r="H27" s="28"/>
      <c r="L27" s="16"/>
    </row>
    <row r="28" spans="3:12" x14ac:dyDescent="0.4">
      <c r="C28" s="27"/>
      <c r="D28" s="28"/>
      <c r="E28" s="158"/>
      <c r="F28" s="36"/>
      <c r="G28" s="30"/>
      <c r="H28" s="28"/>
    </row>
    <row r="29" spans="3:12" x14ac:dyDescent="0.4">
      <c r="C29" s="27"/>
      <c r="D29" s="28"/>
      <c r="E29" s="158"/>
      <c r="F29" s="36"/>
      <c r="G29" s="30"/>
      <c r="H29" s="28"/>
    </row>
    <row r="30" spans="3:12" x14ac:dyDescent="0.4">
      <c r="C30" s="27"/>
      <c r="D30" s="28"/>
      <c r="E30" s="158"/>
      <c r="F30" s="36"/>
      <c r="G30" s="30"/>
      <c r="H30" s="28"/>
    </row>
    <row r="31" spans="3:12" x14ac:dyDescent="0.4">
      <c r="C31" s="27"/>
      <c r="D31" s="28"/>
      <c r="E31" s="158"/>
      <c r="F31" s="36"/>
      <c r="G31" s="30"/>
      <c r="H31" s="28"/>
    </row>
    <row r="32" spans="3:12" x14ac:dyDescent="0.4">
      <c r="C32" s="27"/>
      <c r="D32" s="28"/>
      <c r="E32" s="158"/>
      <c r="F32" s="36"/>
      <c r="G32" s="30"/>
      <c r="H32" s="28"/>
    </row>
    <row r="33" spans="3:8" x14ac:dyDescent="0.4">
      <c r="C33" s="27"/>
      <c r="D33" s="28"/>
      <c r="E33" s="158"/>
      <c r="F33" s="36"/>
      <c r="G33" s="30"/>
      <c r="H33" s="28"/>
    </row>
    <row r="34" spans="3:8" x14ac:dyDescent="0.4">
      <c r="C34" s="27"/>
      <c r="D34" s="28"/>
      <c r="E34" s="158"/>
      <c r="F34" s="36"/>
      <c r="G34" s="30"/>
      <c r="H34" s="28"/>
    </row>
    <row r="35" spans="3:8" x14ac:dyDescent="0.4">
      <c r="C35" s="27"/>
      <c r="D35" s="28"/>
      <c r="E35" s="158"/>
      <c r="F35" s="36"/>
      <c r="G35" s="30"/>
      <c r="H35" s="28"/>
    </row>
    <row r="36" spans="3:8" x14ac:dyDescent="0.4">
      <c r="C36" s="27"/>
      <c r="D36" s="28"/>
      <c r="E36" s="158"/>
      <c r="F36" s="36"/>
      <c r="G36" s="30"/>
      <c r="H36" s="28"/>
    </row>
    <row r="37" spans="3:8" x14ac:dyDescent="0.4">
      <c r="C37" s="27"/>
      <c r="D37" s="28"/>
      <c r="E37" s="158"/>
      <c r="F37" s="36"/>
      <c r="G37" s="30"/>
      <c r="H37" s="28"/>
    </row>
    <row r="38" spans="3:8" x14ac:dyDescent="0.4">
      <c r="C38" s="27"/>
      <c r="D38" s="28"/>
      <c r="E38" s="158"/>
      <c r="F38" s="36"/>
      <c r="G38" s="30"/>
      <c r="H38" s="28"/>
    </row>
    <row r="39" spans="3:8" x14ac:dyDescent="0.4">
      <c r="C39" s="27"/>
      <c r="D39" s="28"/>
      <c r="E39" s="158"/>
      <c r="F39" s="36"/>
      <c r="G39" s="30"/>
      <c r="H39" s="28"/>
    </row>
    <row r="40" spans="3:8" x14ac:dyDescent="0.4">
      <c r="C40" s="27"/>
      <c r="D40" s="28"/>
      <c r="E40" s="158"/>
      <c r="F40" s="36"/>
      <c r="G40" s="30"/>
      <c r="H40" s="28"/>
    </row>
    <row r="41" spans="3:8" x14ac:dyDescent="0.4">
      <c r="C41" s="27"/>
      <c r="D41" s="28"/>
      <c r="E41" s="158"/>
      <c r="F41" s="36"/>
      <c r="G41" s="30"/>
      <c r="H41" s="28"/>
    </row>
    <row r="42" spans="3:8" x14ac:dyDescent="0.4">
      <c r="C42" s="27"/>
      <c r="D42" s="28"/>
      <c r="E42" s="158"/>
      <c r="F42" s="36"/>
      <c r="G42" s="30"/>
      <c r="H42" s="28"/>
    </row>
    <row r="43" spans="3:8" x14ac:dyDescent="0.4">
      <c r="C43" s="27"/>
      <c r="D43" s="28"/>
      <c r="E43" s="158"/>
      <c r="F43" s="36"/>
      <c r="G43" s="30"/>
      <c r="H43" s="28"/>
    </row>
    <row r="44" spans="3:8" x14ac:dyDescent="0.4">
      <c r="C44" s="27"/>
      <c r="D44" s="28"/>
      <c r="E44" s="158"/>
      <c r="F44" s="36"/>
      <c r="G44" s="30"/>
      <c r="H44" s="28"/>
    </row>
    <row r="45" spans="3:8" x14ac:dyDescent="0.4">
      <c r="C45" s="27"/>
      <c r="D45" s="28"/>
      <c r="E45" s="158"/>
      <c r="F45" s="36"/>
      <c r="G45" s="30"/>
      <c r="H45" s="28"/>
    </row>
    <row r="46" spans="3:8" x14ac:dyDescent="0.4">
      <c r="C46" s="27"/>
      <c r="D46" s="28"/>
      <c r="E46" s="158"/>
      <c r="F46" s="36"/>
      <c r="G46" s="30"/>
      <c r="H46" s="28"/>
    </row>
    <row r="47" spans="3:8" x14ac:dyDescent="0.4">
      <c r="C47" s="27"/>
      <c r="D47" s="28"/>
      <c r="E47" s="158"/>
      <c r="F47" s="36"/>
      <c r="G47" s="30"/>
      <c r="H47" s="28"/>
    </row>
    <row r="48" spans="3:8" x14ac:dyDescent="0.4">
      <c r="C48" s="27"/>
      <c r="D48" s="28"/>
      <c r="E48" s="158"/>
      <c r="F48" s="36"/>
      <c r="G48" s="30"/>
      <c r="H48" s="28"/>
    </row>
    <row r="49" spans="3:8" x14ac:dyDescent="0.4">
      <c r="C49" s="27"/>
      <c r="D49" s="28"/>
      <c r="E49" s="158"/>
      <c r="F49" s="36"/>
      <c r="G49" s="30"/>
      <c r="H49" s="28"/>
    </row>
    <row r="50" spans="3:8" x14ac:dyDescent="0.4">
      <c r="C50" s="27"/>
      <c r="D50" s="28"/>
      <c r="E50" s="158"/>
      <c r="F50" s="36"/>
      <c r="G50" s="30"/>
      <c r="H50" s="28"/>
    </row>
  </sheetData>
  <sheetProtection algorithmName="SHA-512" hashValue="CReqPtSnTmv1h4NYHZV9twsoM6tShyVm5cv5oJikf/vSzT3SZgX7zLi47q1za8lqRnOVeKvmltQAfcwzA37jWQ==" saltValue="aXgxS8TOrHwCyCCkbDkxzw==" spinCount="100000" sheet="1" objects="1" scenarios="1"/>
  <phoneticPr fontId="6" type="noConversion"/>
  <dataValidations count="2">
    <dataValidation type="whole" operator="greaterThanOrEqual" allowBlank="1" showInputMessage="1" showErrorMessage="1" sqref="F5:F50" xr:uid="{2B5B223F-82F1-4368-97C5-972EEB278B54}">
      <formula1>0</formula1>
    </dataValidation>
    <dataValidation type="date" allowBlank="1" showInputMessage="1" showErrorMessage="1" sqref="E5:E50" xr:uid="{17443B93-5869-4A3C-8A3F-8737E3A8728D}">
      <formula1>36526</formula1>
      <formula2>73051</formula2>
    </dataValidation>
  </dataValidations>
  <pageMargins left="0.7" right="0.7" top="0.75" bottom="0.75" header="0.3" footer="0.3"/>
  <drawing r:id="rId1"/>
  <tableParts count="2">
    <tablePart r:id="rId2"/>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63A7F50-8E11-4E60-8F15-B7DC72817668}">
          <x14:formula1>
            <xm:f>'Dropdown tables - Production'!$C$2:$C$77</xm:f>
          </x14:formula1>
          <xm:sqref>C5:C50</xm:sqref>
        </x14:dataValidation>
        <x14:dataValidation type="list" allowBlank="1" showInputMessage="1" showErrorMessage="1" xr:uid="{A7A17A48-A8CE-4A24-832E-1010A3B6822C}">
          <x14:formula1>
            <xm:f>'Dropdown tables - Production'!$D$2:$D$77</xm:f>
          </x14:formula1>
          <xm:sqref>D5:D50</xm:sqref>
        </x14:dataValidation>
        <x14:dataValidation type="list" allowBlank="1" showInputMessage="1" xr:uid="{41711CA4-4D9C-4466-A51E-7825BABF8F91}">
          <x14:formula1>
            <xm:f>'Dropdown tables - Production'!$P$2:$P$8</xm:f>
          </x14:formula1>
          <xm:sqref>G5:G50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8CFE-6C84-4153-9A46-336CAD03749B}">
  <sheetPr codeName="Sheet25">
    <tabColor theme="9" tint="0.59999389629810485"/>
  </sheetPr>
  <dimension ref="A2:BA1300"/>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109375" style="14" customWidth="1"/>
    <col min="5" max="5" width="28" style="14" bestFit="1" customWidth="1"/>
    <col min="6" max="6" width="23.77734375" style="14" bestFit="1" customWidth="1"/>
    <col min="7" max="7" width="22.21875" style="14" bestFit="1" customWidth="1"/>
    <col min="8" max="8" width="22.44140625" style="14" bestFit="1" customWidth="1"/>
    <col min="9" max="10" width="14.21875" style="14" bestFit="1" customWidth="1"/>
    <col min="11" max="11" width="17.21875" style="14" customWidth="1"/>
    <col min="12" max="26" width="9" style="14" customWidth="1"/>
    <col min="27" max="27" width="39.21875" style="14" hidden="1" customWidth="1"/>
    <col min="28" max="28" width="29" style="14" hidden="1" customWidth="1"/>
    <col min="29" max="29" width="30.77734375" style="14" hidden="1" customWidth="1"/>
    <col min="30" max="30" width="41" style="14" hidden="1" customWidth="1"/>
    <col min="31" max="38" width="9" style="14" hidden="1" customWidth="1"/>
    <col min="39" max="69" width="9" style="14" customWidth="1"/>
    <col min="70" max="16384" width="9" style="14"/>
  </cols>
  <sheetData>
    <row r="2" spans="1:53" x14ac:dyDescent="0.4">
      <c r="D2" s="17" t="s">
        <v>1906</v>
      </c>
      <c r="G2" s="38"/>
      <c r="S2" s="17"/>
      <c r="X2" s="19"/>
      <c r="AA2" s="17" t="s">
        <v>71</v>
      </c>
      <c r="AB2" s="31"/>
      <c r="AC2" s="31"/>
      <c r="AD2" s="31"/>
      <c r="AE2" s="31"/>
      <c r="AF2" s="31"/>
      <c r="AG2" s="17" t="s">
        <v>72</v>
      </c>
    </row>
    <row r="3" spans="1:53" hidden="1" x14ac:dyDescent="0.4">
      <c r="C3" s="14">
        <v>4.0999999999999996</v>
      </c>
      <c r="D3" s="14">
        <v>4.2</v>
      </c>
      <c r="E3" s="14">
        <v>4.3</v>
      </c>
      <c r="F3" s="14">
        <v>4.4000000000000004</v>
      </c>
      <c r="G3" s="14">
        <v>4.5</v>
      </c>
      <c r="H3" s="14">
        <v>4.5999999999999996</v>
      </c>
      <c r="I3" s="14">
        <v>4.7</v>
      </c>
      <c r="J3" s="14">
        <v>4.8</v>
      </c>
      <c r="K3" s="14">
        <v>4.9000000000000004</v>
      </c>
      <c r="AF3" s="31"/>
      <c r="AH3" s="19"/>
    </row>
    <row r="4" spans="1:53" s="23" customFormat="1" ht="34.200000000000003" thickBot="1" x14ac:dyDescent="0.45">
      <c r="C4" s="58" t="s">
        <v>40</v>
      </c>
      <c r="D4" s="57" t="s">
        <v>73</v>
      </c>
      <c r="E4" s="57" t="s">
        <v>74</v>
      </c>
      <c r="F4" s="90" t="s">
        <v>75</v>
      </c>
      <c r="G4" s="58" t="s">
        <v>76</v>
      </c>
      <c r="H4" s="249" t="s">
        <v>77</v>
      </c>
      <c r="I4" s="60" t="s">
        <v>78</v>
      </c>
      <c r="J4" s="60" t="s">
        <v>79</v>
      </c>
      <c r="K4" s="59" t="s">
        <v>52</v>
      </c>
      <c r="L4" s="14"/>
      <c r="AA4" s="80" t="s">
        <v>80</v>
      </c>
      <c r="AB4" s="81" t="s">
        <v>81</v>
      </c>
      <c r="AC4" s="81" t="s">
        <v>82</v>
      </c>
      <c r="AD4" s="81" t="s">
        <v>83</v>
      </c>
      <c r="AE4" s="82" t="s">
        <v>52</v>
      </c>
      <c r="AF4" s="31"/>
      <c r="AG4" s="64" t="s">
        <v>84</v>
      </c>
      <c r="AH4" s="14" t="s">
        <v>85</v>
      </c>
      <c r="AI4" s="14" t="s">
        <v>86</v>
      </c>
      <c r="AJ4" s="14" t="s">
        <v>87</v>
      </c>
      <c r="AK4" s="65" t="s">
        <v>88</v>
      </c>
      <c r="BA4" s="14"/>
    </row>
    <row r="5" spans="1:53" ht="17.399999999999999" thickTop="1" x14ac:dyDescent="0.4">
      <c r="A5" s="83"/>
      <c r="C5" s="79">
        <f>'Site and production details'!C5</f>
        <v>0</v>
      </c>
      <c r="D5" s="151"/>
      <c r="E5" s="297" t="s">
        <v>89</v>
      </c>
      <c r="F5" s="298" t="s">
        <v>90</v>
      </c>
      <c r="G5" s="247" t="s">
        <v>91</v>
      </c>
      <c r="H5" s="253" t="s">
        <v>92</v>
      </c>
      <c r="I5" s="160"/>
      <c r="J5" s="160"/>
      <c r="K5" s="168"/>
      <c r="AA5" s="14" t="s">
        <v>93</v>
      </c>
      <c r="AB5" s="73">
        <v>100</v>
      </c>
      <c r="AC5" s="73">
        <v>1000000</v>
      </c>
      <c r="AD5" s="73" t="s">
        <v>94</v>
      </c>
      <c r="AE5" s="14" t="s">
        <v>95</v>
      </c>
      <c r="AF5" s="31"/>
      <c r="AG5" s="14" t="s">
        <v>96</v>
      </c>
      <c r="AH5" s="14" t="s">
        <v>97</v>
      </c>
      <c r="AI5" s="14" t="s">
        <v>97</v>
      </c>
      <c r="AJ5" s="14" t="s">
        <v>97</v>
      </c>
      <c r="AK5" s="14" t="s">
        <v>98</v>
      </c>
    </row>
    <row r="6" spans="1:53" x14ac:dyDescent="0.4">
      <c r="A6" s="83"/>
      <c r="C6" s="79">
        <f t="shared" ref="C6:C12" si="0">C5</f>
        <v>0</v>
      </c>
      <c r="D6" s="151"/>
      <c r="E6" s="295" t="str">
        <f>IF(E5 = "Select", "", E5)</f>
        <v/>
      </c>
      <c r="F6" s="299" t="s">
        <v>90</v>
      </c>
      <c r="G6" s="300" t="s">
        <v>99</v>
      </c>
      <c r="H6" s="254" t="s">
        <v>100</v>
      </c>
      <c r="I6" s="161"/>
      <c r="J6" s="161"/>
      <c r="K6" s="169"/>
      <c r="AA6" s="14" t="s">
        <v>93</v>
      </c>
      <c r="AB6" s="14">
        <v>0</v>
      </c>
      <c r="AC6" s="14">
        <v>100</v>
      </c>
      <c r="AD6" s="14" t="s">
        <v>101</v>
      </c>
      <c r="AF6" s="31"/>
      <c r="AG6" s="14" t="s">
        <v>96</v>
      </c>
      <c r="AH6" s="14" t="s">
        <v>97</v>
      </c>
      <c r="AI6" s="14" t="s">
        <v>97</v>
      </c>
      <c r="AJ6" s="14" t="s">
        <v>96</v>
      </c>
      <c r="AK6" s="14" t="s">
        <v>98</v>
      </c>
    </row>
    <row r="7" spans="1:53" x14ac:dyDescent="0.4">
      <c r="A7" s="83"/>
      <c r="C7" s="79">
        <f t="shared" si="0"/>
        <v>0</v>
      </c>
      <c r="D7" s="151"/>
      <c r="E7" s="295" t="str">
        <f>IF(E6 = "Select", "", E6)</f>
        <v/>
      </c>
      <c r="F7" s="301" t="s">
        <v>90</v>
      </c>
      <c r="G7" s="300" t="s">
        <v>102</v>
      </c>
      <c r="H7" s="255" t="s">
        <v>103</v>
      </c>
      <c r="I7" s="162"/>
      <c r="J7" s="162"/>
      <c r="K7" s="169"/>
      <c r="AA7" s="14" t="s">
        <v>93</v>
      </c>
      <c r="AB7" s="14">
        <v>-100</v>
      </c>
      <c r="AC7" s="14">
        <v>0</v>
      </c>
      <c r="AD7" s="14" t="s">
        <v>104</v>
      </c>
      <c r="AF7" s="31"/>
      <c r="AG7" s="14" t="s">
        <v>96</v>
      </c>
      <c r="AH7" s="14" t="s">
        <v>97</v>
      </c>
      <c r="AI7" s="14" t="s">
        <v>97</v>
      </c>
      <c r="AJ7" s="14" t="s">
        <v>104</v>
      </c>
      <c r="AK7" s="14" t="s">
        <v>98</v>
      </c>
    </row>
    <row r="8" spans="1:53" x14ac:dyDescent="0.4">
      <c r="A8" s="83"/>
      <c r="C8" s="79">
        <f t="shared" si="0"/>
        <v>0</v>
      </c>
      <c r="D8" s="151"/>
      <c r="E8" s="296" t="str">
        <f>IF(E7 = "Select", "", E7)</f>
        <v/>
      </c>
      <c r="F8" s="302" t="s">
        <v>90</v>
      </c>
      <c r="G8" s="248" t="s">
        <v>105</v>
      </c>
      <c r="H8" s="256" t="s">
        <v>106</v>
      </c>
      <c r="I8" s="163"/>
      <c r="J8" s="163"/>
      <c r="K8" s="170"/>
      <c r="AA8" s="14" t="s">
        <v>93</v>
      </c>
      <c r="AB8" s="14">
        <v>-150</v>
      </c>
      <c r="AC8" s="14">
        <v>-100</v>
      </c>
      <c r="AD8" s="14" t="s">
        <v>96</v>
      </c>
      <c r="AF8" s="31"/>
      <c r="AG8" s="14" t="s">
        <v>96</v>
      </c>
      <c r="AH8" s="14" t="s">
        <v>97</v>
      </c>
      <c r="AI8" s="14" t="s">
        <v>97</v>
      </c>
      <c r="AJ8" s="14" t="s">
        <v>101</v>
      </c>
      <c r="AK8" s="14" t="s">
        <v>98</v>
      </c>
    </row>
    <row r="9" spans="1:53" x14ac:dyDescent="0.4">
      <c r="A9" s="83"/>
      <c r="C9" s="79">
        <f t="shared" si="0"/>
        <v>0</v>
      </c>
      <c r="D9" s="151"/>
      <c r="E9" s="111" t="s">
        <v>93</v>
      </c>
      <c r="F9" s="298" t="s">
        <v>90</v>
      </c>
      <c r="G9" s="247" t="s">
        <v>91</v>
      </c>
      <c r="H9" s="253" t="str">
        <f>H5</f>
        <v>0-30</v>
      </c>
      <c r="I9" s="164"/>
      <c r="J9" s="164"/>
      <c r="K9" s="171"/>
      <c r="T9" s="19"/>
      <c r="U9" s="19"/>
      <c r="V9" s="19"/>
      <c r="W9" s="19"/>
      <c r="AA9" s="14" t="s">
        <v>93</v>
      </c>
      <c r="AB9" s="14">
        <v>-10000000</v>
      </c>
      <c r="AC9" s="14">
        <v>-150</v>
      </c>
      <c r="AD9" s="14" t="s">
        <v>97</v>
      </c>
      <c r="AE9" s="14" t="s">
        <v>107</v>
      </c>
      <c r="AF9" s="31"/>
      <c r="AG9" s="14" t="s">
        <v>96</v>
      </c>
      <c r="AH9" s="14" t="s">
        <v>97</v>
      </c>
      <c r="AI9" s="14" t="s">
        <v>97</v>
      </c>
      <c r="AJ9" s="56" t="s">
        <v>108</v>
      </c>
      <c r="AK9" s="14" t="s">
        <v>98</v>
      </c>
    </row>
    <row r="10" spans="1:53" x14ac:dyDescent="0.4">
      <c r="A10" s="83"/>
      <c r="C10" s="79">
        <f t="shared" si="0"/>
        <v>0</v>
      </c>
      <c r="D10" s="151"/>
      <c r="E10" s="112" t="s">
        <v>93</v>
      </c>
      <c r="F10" s="299" t="s">
        <v>90</v>
      </c>
      <c r="G10" s="300" t="s">
        <v>99</v>
      </c>
      <c r="H10" s="254" t="str">
        <f>H6</f>
        <v>31-100</v>
      </c>
      <c r="I10" s="165"/>
      <c r="J10" s="165"/>
      <c r="K10" s="172"/>
      <c r="T10" s="19"/>
      <c r="AA10" s="14" t="s">
        <v>109</v>
      </c>
      <c r="AB10" s="20">
        <v>0</v>
      </c>
      <c r="AC10" s="20">
        <v>75.000010000000003</v>
      </c>
      <c r="AD10" s="14" t="s">
        <v>94</v>
      </c>
      <c r="AF10" s="31"/>
      <c r="AG10" s="14" t="s">
        <v>96</v>
      </c>
      <c r="AH10" s="14" t="s">
        <v>97</v>
      </c>
      <c r="AI10" s="14" t="s">
        <v>97</v>
      </c>
      <c r="AJ10" s="14" t="s">
        <v>94</v>
      </c>
      <c r="AK10" s="14" t="s">
        <v>98</v>
      </c>
    </row>
    <row r="11" spans="1:53" x14ac:dyDescent="0.4">
      <c r="A11" s="83"/>
      <c r="C11" s="79">
        <f t="shared" si="0"/>
        <v>0</v>
      </c>
      <c r="D11" s="151"/>
      <c r="E11" s="112" t="s">
        <v>93</v>
      </c>
      <c r="F11" s="301" t="s">
        <v>90</v>
      </c>
      <c r="G11" s="300" t="s">
        <v>102</v>
      </c>
      <c r="H11" s="255" t="str">
        <f>H7</f>
        <v>101-150</v>
      </c>
      <c r="I11" s="166"/>
      <c r="J11" s="166"/>
      <c r="K11" s="172"/>
      <c r="S11" s="19"/>
      <c r="T11" s="19"/>
      <c r="U11" s="19"/>
      <c r="V11" s="19"/>
      <c r="AA11" s="14" t="s">
        <v>109</v>
      </c>
      <c r="AB11" s="20">
        <v>75.000010000000003</v>
      </c>
      <c r="AC11" s="20">
        <v>250.00001</v>
      </c>
      <c r="AD11" s="14" t="s">
        <v>101</v>
      </c>
      <c r="AF11" s="31"/>
      <c r="AG11" s="14" t="s">
        <v>96</v>
      </c>
      <c r="AH11" s="14" t="s">
        <v>97</v>
      </c>
      <c r="AI11" s="14" t="s">
        <v>96</v>
      </c>
      <c r="AJ11" s="14" t="s">
        <v>97</v>
      </c>
      <c r="AK11" s="14" t="s">
        <v>98</v>
      </c>
    </row>
    <row r="12" spans="1:53" x14ac:dyDescent="0.4">
      <c r="A12" s="83"/>
      <c r="C12" s="79">
        <f t="shared" si="0"/>
        <v>0</v>
      </c>
      <c r="D12" s="151"/>
      <c r="E12" s="113" t="s">
        <v>93</v>
      </c>
      <c r="F12" s="302" t="s">
        <v>90</v>
      </c>
      <c r="G12" s="248" t="s">
        <v>105</v>
      </c>
      <c r="H12" s="256" t="str">
        <f>H8</f>
        <v>500+</v>
      </c>
      <c r="I12" s="167"/>
      <c r="J12" s="167"/>
      <c r="K12" s="173"/>
      <c r="S12" s="19"/>
      <c r="U12" s="19"/>
      <c r="V12" s="19"/>
      <c r="AA12" s="14" t="s">
        <v>109</v>
      </c>
      <c r="AB12" s="20">
        <v>250.00001</v>
      </c>
      <c r="AC12" s="20">
        <v>500.00000999999997</v>
      </c>
      <c r="AD12" s="14" t="s">
        <v>104</v>
      </c>
      <c r="AF12" s="31"/>
      <c r="AG12" s="14" t="s">
        <v>96</v>
      </c>
      <c r="AH12" s="14" t="s">
        <v>97</v>
      </c>
      <c r="AI12" s="14" t="s">
        <v>96</v>
      </c>
      <c r="AJ12" s="14" t="s">
        <v>96</v>
      </c>
      <c r="AK12" s="14" t="s">
        <v>98</v>
      </c>
    </row>
    <row r="13" spans="1:53" x14ac:dyDescent="0.4">
      <c r="A13" s="83"/>
      <c r="T13" s="19"/>
      <c r="U13" s="19"/>
      <c r="V13" s="19"/>
      <c r="AA13" s="14" t="s">
        <v>109</v>
      </c>
      <c r="AB13" s="20">
        <v>500.00000999999997</v>
      </c>
      <c r="AC13" s="20">
        <v>1100.00001</v>
      </c>
      <c r="AD13" s="14" t="s">
        <v>96</v>
      </c>
      <c r="AF13" s="31"/>
      <c r="AG13" s="14" t="s">
        <v>96</v>
      </c>
      <c r="AH13" s="14" t="s">
        <v>97</v>
      </c>
      <c r="AI13" s="14" t="s">
        <v>96</v>
      </c>
      <c r="AJ13" s="14" t="s">
        <v>104</v>
      </c>
      <c r="AK13" s="14" t="s">
        <v>98</v>
      </c>
    </row>
    <row r="14" spans="1:53" x14ac:dyDescent="0.4">
      <c r="A14" s="83"/>
      <c r="D14" s="17" t="s">
        <v>1907</v>
      </c>
      <c r="T14" s="19"/>
      <c r="U14" s="19"/>
      <c r="V14" s="19"/>
      <c r="AA14" s="14" t="s">
        <v>109</v>
      </c>
      <c r="AB14" s="20">
        <v>1100.00001</v>
      </c>
      <c r="AC14" s="20">
        <v>1000000</v>
      </c>
      <c r="AD14" s="14" t="s">
        <v>97</v>
      </c>
      <c r="AE14" s="14" t="s">
        <v>95</v>
      </c>
      <c r="AF14" s="31"/>
      <c r="AG14" s="14" t="s">
        <v>96</v>
      </c>
      <c r="AH14" s="14" t="s">
        <v>97</v>
      </c>
      <c r="AI14" s="14" t="s">
        <v>96</v>
      </c>
      <c r="AJ14" s="14" t="s">
        <v>101</v>
      </c>
      <c r="AK14" s="14" t="s">
        <v>98</v>
      </c>
    </row>
    <row r="15" spans="1:53" hidden="1" x14ac:dyDescent="0.4">
      <c r="A15" s="83"/>
      <c r="C15" s="14">
        <v>4.1100000000000003</v>
      </c>
      <c r="D15" s="14">
        <v>4.12</v>
      </c>
      <c r="E15" s="14">
        <v>4.13</v>
      </c>
      <c r="F15" s="14">
        <v>4.1399999999999997</v>
      </c>
      <c r="G15" s="14">
        <v>4.1500000000000004</v>
      </c>
      <c r="H15" s="14">
        <v>4.16</v>
      </c>
      <c r="I15" s="14">
        <v>4.17</v>
      </c>
      <c r="J15" s="14">
        <v>4.18</v>
      </c>
      <c r="K15" s="14">
        <v>4.1900000000000004</v>
      </c>
      <c r="T15" s="19"/>
      <c r="U15" s="19"/>
      <c r="V15" s="19"/>
      <c r="AA15" s="14" t="s">
        <v>110</v>
      </c>
      <c r="AB15" s="20">
        <v>0</v>
      </c>
      <c r="AC15" s="104">
        <v>750.00000999999997</v>
      </c>
      <c r="AD15" s="73" t="s">
        <v>94</v>
      </c>
      <c r="AE15" s="14" t="s">
        <v>107</v>
      </c>
      <c r="AF15" s="31"/>
      <c r="AG15" s="14" t="s">
        <v>96</v>
      </c>
      <c r="AH15" s="14" t="s">
        <v>97</v>
      </c>
      <c r="AI15" s="14" t="s">
        <v>96</v>
      </c>
      <c r="AJ15" s="56" t="s">
        <v>108</v>
      </c>
      <c r="AK15" s="14" t="s">
        <v>98</v>
      </c>
    </row>
    <row r="16" spans="1:53" ht="34.200000000000003" thickBot="1" x14ac:dyDescent="0.45">
      <c r="A16" s="83"/>
      <c r="C16" s="246" t="s">
        <v>40</v>
      </c>
      <c r="D16" s="57" t="s">
        <v>73</v>
      </c>
      <c r="E16" s="58" t="s">
        <v>111</v>
      </c>
      <c r="F16" s="90" t="s">
        <v>75</v>
      </c>
      <c r="G16" s="126" t="s">
        <v>76</v>
      </c>
      <c r="H16" s="90" t="s">
        <v>77</v>
      </c>
      <c r="I16" s="90" t="s">
        <v>78</v>
      </c>
      <c r="J16" s="90" t="s">
        <v>79</v>
      </c>
      <c r="K16" s="105" t="s">
        <v>52</v>
      </c>
      <c r="T16" s="19"/>
      <c r="U16" s="19"/>
      <c r="V16" s="19"/>
      <c r="AA16" s="14" t="s">
        <v>110</v>
      </c>
      <c r="AB16" s="20">
        <v>750.00000999999997</v>
      </c>
      <c r="AC16" s="20">
        <v>1500.00001</v>
      </c>
      <c r="AD16" s="14" t="s">
        <v>101</v>
      </c>
      <c r="AG16" s="14" t="s">
        <v>96</v>
      </c>
      <c r="AH16" s="14" t="s">
        <v>97</v>
      </c>
      <c r="AI16" s="14" t="s">
        <v>96</v>
      </c>
      <c r="AJ16" s="14" t="s">
        <v>94</v>
      </c>
      <c r="AK16" s="14" t="s">
        <v>98</v>
      </c>
    </row>
    <row r="17" spans="1:37" ht="17.399999999999999" thickTop="1" x14ac:dyDescent="0.4">
      <c r="A17" s="83"/>
      <c r="C17" s="79">
        <f t="shared" ref="C17" si="1">C5</f>
        <v>0</v>
      </c>
      <c r="D17" s="183"/>
      <c r="E17" s="294" t="str">
        <f>IF(E5 = "Select", "", E5)</f>
        <v/>
      </c>
      <c r="F17" s="298" t="s">
        <v>112</v>
      </c>
      <c r="G17" s="124" t="s">
        <v>91</v>
      </c>
      <c r="H17" s="257" t="str">
        <f t="shared" ref="H17:H24" si="2">H5</f>
        <v>0-30</v>
      </c>
      <c r="I17" s="160"/>
      <c r="J17" s="160"/>
      <c r="K17" s="177"/>
      <c r="S17" s="19"/>
      <c r="T17" s="19"/>
      <c r="U17" s="19"/>
      <c r="V17" s="19"/>
      <c r="AA17" s="14" t="s">
        <v>110</v>
      </c>
      <c r="AB17" s="20">
        <v>1500.00001</v>
      </c>
      <c r="AC17" s="20">
        <v>3000.0000100000002</v>
      </c>
      <c r="AD17" s="14" t="s">
        <v>104</v>
      </c>
      <c r="AG17" s="14" t="s">
        <v>96</v>
      </c>
      <c r="AH17" s="14" t="s">
        <v>97</v>
      </c>
      <c r="AI17" s="14" t="s">
        <v>104</v>
      </c>
      <c r="AJ17" s="14" t="s">
        <v>97</v>
      </c>
      <c r="AK17" s="14" t="s">
        <v>98</v>
      </c>
    </row>
    <row r="18" spans="1:37" x14ac:dyDescent="0.4">
      <c r="A18" s="83"/>
      <c r="C18" s="79">
        <f>C17</f>
        <v>0</v>
      </c>
      <c r="D18" s="184"/>
      <c r="E18" s="295" t="str">
        <f t="shared" ref="E18:E28" si="3">E17</f>
        <v/>
      </c>
      <c r="F18" s="299" t="s">
        <v>112</v>
      </c>
      <c r="G18" s="121" t="s">
        <v>99</v>
      </c>
      <c r="H18" s="258" t="str">
        <f t="shared" si="2"/>
        <v>31-100</v>
      </c>
      <c r="I18" s="161"/>
      <c r="J18" s="161"/>
      <c r="K18" s="175"/>
      <c r="S18" s="19"/>
      <c r="AA18" s="14" t="s">
        <v>110</v>
      </c>
      <c r="AB18" s="20">
        <v>3000.0000100000002</v>
      </c>
      <c r="AC18" s="20">
        <v>6000.0000099999997</v>
      </c>
      <c r="AD18" s="14" t="s">
        <v>96</v>
      </c>
      <c r="AG18" s="14" t="s">
        <v>96</v>
      </c>
      <c r="AH18" s="14" t="s">
        <v>97</v>
      </c>
      <c r="AI18" s="14" t="s">
        <v>104</v>
      </c>
      <c r="AJ18" s="14" t="s">
        <v>96</v>
      </c>
      <c r="AK18" s="14" t="s">
        <v>98</v>
      </c>
    </row>
    <row r="19" spans="1:37" x14ac:dyDescent="0.4">
      <c r="A19" s="83"/>
      <c r="C19" s="79">
        <f>C18</f>
        <v>0</v>
      </c>
      <c r="D19" s="183"/>
      <c r="E19" s="295" t="str">
        <f t="shared" si="3"/>
        <v/>
      </c>
      <c r="F19" s="301" t="s">
        <v>112</v>
      </c>
      <c r="G19" s="121" t="s">
        <v>102</v>
      </c>
      <c r="H19" s="259" t="str">
        <f t="shared" si="2"/>
        <v>101-150</v>
      </c>
      <c r="I19" s="162"/>
      <c r="J19" s="162"/>
      <c r="K19" s="178"/>
      <c r="AA19" s="14" t="s">
        <v>110</v>
      </c>
      <c r="AB19" s="20">
        <v>6000.0000099999997</v>
      </c>
      <c r="AC19" s="20">
        <v>1000000</v>
      </c>
      <c r="AD19" s="14" t="s">
        <v>97</v>
      </c>
      <c r="AE19" s="14" t="s">
        <v>95</v>
      </c>
      <c r="AG19" s="14" t="s">
        <v>96</v>
      </c>
      <c r="AH19" s="14" t="s">
        <v>97</v>
      </c>
      <c r="AI19" s="14" t="s">
        <v>104</v>
      </c>
      <c r="AJ19" s="14" t="s">
        <v>104</v>
      </c>
      <c r="AK19" s="14" t="s">
        <v>98</v>
      </c>
    </row>
    <row r="20" spans="1:37" x14ac:dyDescent="0.4">
      <c r="A20" s="83"/>
      <c r="C20" s="79">
        <f t="shared" ref="C20:C40" si="4">C19</f>
        <v>0</v>
      </c>
      <c r="D20" s="184"/>
      <c r="E20" s="295" t="str">
        <f t="shared" si="3"/>
        <v/>
      </c>
      <c r="F20" s="302" t="s">
        <v>112</v>
      </c>
      <c r="G20" s="123" t="s">
        <v>105</v>
      </c>
      <c r="H20" s="260" t="str">
        <f t="shared" si="2"/>
        <v>500+</v>
      </c>
      <c r="I20" s="163"/>
      <c r="J20" s="163"/>
      <c r="K20" s="176"/>
      <c r="AG20" s="14" t="s">
        <v>96</v>
      </c>
      <c r="AH20" s="14" t="s">
        <v>97</v>
      </c>
      <c r="AI20" s="14" t="s">
        <v>104</v>
      </c>
      <c r="AJ20" s="14" t="s">
        <v>101</v>
      </c>
      <c r="AK20" s="14" t="s">
        <v>98</v>
      </c>
    </row>
    <row r="21" spans="1:37" x14ac:dyDescent="0.4">
      <c r="A21" s="83"/>
      <c r="C21" s="79">
        <f t="shared" si="4"/>
        <v>0</v>
      </c>
      <c r="D21" s="183"/>
      <c r="E21" s="295" t="str">
        <f t="shared" si="3"/>
        <v/>
      </c>
      <c r="F21" s="298" t="s">
        <v>113</v>
      </c>
      <c r="G21" s="124" t="s">
        <v>91</v>
      </c>
      <c r="H21" s="257" t="str">
        <f t="shared" si="2"/>
        <v>0-30</v>
      </c>
      <c r="I21" s="160"/>
      <c r="J21" s="160"/>
      <c r="K21" s="177"/>
      <c r="AA21" s="17" t="s">
        <v>114</v>
      </c>
      <c r="AG21" s="14" t="s">
        <v>96</v>
      </c>
      <c r="AH21" s="14" t="s">
        <v>97</v>
      </c>
      <c r="AI21" s="14" t="s">
        <v>104</v>
      </c>
      <c r="AJ21" s="56" t="s">
        <v>108</v>
      </c>
      <c r="AK21" s="14" t="s">
        <v>98</v>
      </c>
    </row>
    <row r="22" spans="1:37" x14ac:dyDescent="0.4">
      <c r="A22" s="83"/>
      <c r="C22" s="79">
        <f t="shared" si="4"/>
        <v>0</v>
      </c>
      <c r="D22" s="184"/>
      <c r="E22" s="295" t="str">
        <f t="shared" si="3"/>
        <v/>
      </c>
      <c r="F22" s="299" t="s">
        <v>113</v>
      </c>
      <c r="G22" s="121" t="s">
        <v>99</v>
      </c>
      <c r="H22" s="258" t="str">
        <f t="shared" si="2"/>
        <v>31-100</v>
      </c>
      <c r="I22" s="161"/>
      <c r="J22" s="161"/>
      <c r="K22" s="175"/>
      <c r="AG22" s="14" t="s">
        <v>96</v>
      </c>
      <c r="AH22" s="14" t="s">
        <v>97</v>
      </c>
      <c r="AI22" s="14" t="s">
        <v>104</v>
      </c>
      <c r="AJ22" s="14" t="s">
        <v>94</v>
      </c>
      <c r="AK22" s="14" t="s">
        <v>98</v>
      </c>
    </row>
    <row r="23" spans="1:37" x14ac:dyDescent="0.4">
      <c r="A23" s="83"/>
      <c r="C23" s="79">
        <f t="shared" si="4"/>
        <v>0</v>
      </c>
      <c r="D23" s="183"/>
      <c r="E23" s="295" t="str">
        <f t="shared" si="3"/>
        <v/>
      </c>
      <c r="F23" s="301" t="s">
        <v>113</v>
      </c>
      <c r="G23" s="121" t="s">
        <v>102</v>
      </c>
      <c r="H23" s="259" t="str">
        <f t="shared" si="2"/>
        <v>101-150</v>
      </c>
      <c r="I23" s="162"/>
      <c r="J23" s="162"/>
      <c r="K23" s="178"/>
      <c r="AA23" s="14" t="s">
        <v>83</v>
      </c>
      <c r="AB23" s="81" t="s">
        <v>115</v>
      </c>
      <c r="AC23" s="14" t="s">
        <v>116</v>
      </c>
      <c r="AD23" s="14" t="s">
        <v>117</v>
      </c>
      <c r="AE23" s="14" t="s">
        <v>52</v>
      </c>
      <c r="AG23" s="14" t="s">
        <v>96</v>
      </c>
      <c r="AH23" s="14" t="s">
        <v>97</v>
      </c>
      <c r="AI23" s="14" t="s">
        <v>101</v>
      </c>
      <c r="AJ23" s="14" t="s">
        <v>97</v>
      </c>
      <c r="AK23" s="14" t="s">
        <v>98</v>
      </c>
    </row>
    <row r="24" spans="1:37" x14ac:dyDescent="0.4">
      <c r="A24" s="83"/>
      <c r="C24" s="79">
        <f t="shared" si="4"/>
        <v>0</v>
      </c>
      <c r="D24" s="184"/>
      <c r="E24" s="295" t="str">
        <f t="shared" si="3"/>
        <v/>
      </c>
      <c r="F24" s="302" t="s">
        <v>113</v>
      </c>
      <c r="G24" s="123" t="s">
        <v>105</v>
      </c>
      <c r="H24" s="260" t="str">
        <f t="shared" si="2"/>
        <v>500+</v>
      </c>
      <c r="I24" s="163"/>
      <c r="J24" s="163"/>
      <c r="K24" s="176"/>
      <c r="AA24" s="14" t="s">
        <v>97</v>
      </c>
      <c r="AB24" s="14">
        <v>4.0000099999999996</v>
      </c>
      <c r="AC24" s="14">
        <v>6</v>
      </c>
      <c r="AD24" s="39">
        <v>5</v>
      </c>
      <c r="AE24" s="14" t="s">
        <v>95</v>
      </c>
      <c r="AG24" s="14" t="s">
        <v>96</v>
      </c>
      <c r="AH24" s="14" t="s">
        <v>97</v>
      </c>
      <c r="AI24" s="14" t="s">
        <v>101</v>
      </c>
      <c r="AJ24" s="14" t="s">
        <v>96</v>
      </c>
      <c r="AK24" s="14" t="s">
        <v>98</v>
      </c>
    </row>
    <row r="25" spans="1:37" x14ac:dyDescent="0.4">
      <c r="A25" s="83"/>
      <c r="C25" s="79">
        <f t="shared" si="4"/>
        <v>0</v>
      </c>
      <c r="D25" s="183"/>
      <c r="E25" s="295" t="str">
        <f t="shared" si="3"/>
        <v/>
      </c>
      <c r="F25" s="298" t="s">
        <v>118</v>
      </c>
      <c r="G25" s="124" t="s">
        <v>91</v>
      </c>
      <c r="H25" s="257" t="str">
        <f t="shared" ref="H25:H32" si="5">H5</f>
        <v>0-30</v>
      </c>
      <c r="I25" s="160"/>
      <c r="J25" s="160"/>
      <c r="K25" s="177"/>
      <c r="AA25" s="14" t="s">
        <v>96</v>
      </c>
      <c r="AB25" s="14">
        <v>3.1</v>
      </c>
      <c r="AC25" s="14">
        <v>4.0000099999999996</v>
      </c>
      <c r="AD25" s="39">
        <v>4</v>
      </c>
      <c r="AG25" s="14" t="s">
        <v>96</v>
      </c>
      <c r="AH25" s="14" t="s">
        <v>97</v>
      </c>
      <c r="AI25" s="14" t="s">
        <v>101</v>
      </c>
      <c r="AJ25" s="14" t="s">
        <v>104</v>
      </c>
      <c r="AK25" s="14" t="s">
        <v>98</v>
      </c>
    </row>
    <row r="26" spans="1:37" x14ac:dyDescent="0.4">
      <c r="A26" s="83"/>
      <c r="C26" s="79">
        <f t="shared" si="4"/>
        <v>0</v>
      </c>
      <c r="D26" s="184"/>
      <c r="E26" s="295" t="str">
        <f t="shared" si="3"/>
        <v/>
      </c>
      <c r="F26" s="299" t="s">
        <v>118</v>
      </c>
      <c r="G26" s="121" t="s">
        <v>99</v>
      </c>
      <c r="H26" s="258" t="str">
        <f t="shared" si="5"/>
        <v>31-100</v>
      </c>
      <c r="I26" s="161"/>
      <c r="J26" s="161"/>
      <c r="K26" s="175"/>
      <c r="AA26" s="14" t="s">
        <v>104</v>
      </c>
      <c r="AB26" s="14">
        <v>2.1</v>
      </c>
      <c r="AC26" s="14">
        <v>3.09999</v>
      </c>
      <c r="AD26" s="39">
        <v>3</v>
      </c>
      <c r="AG26" s="14" t="s">
        <v>96</v>
      </c>
      <c r="AH26" s="14" t="s">
        <v>97</v>
      </c>
      <c r="AI26" s="14" t="s">
        <v>101</v>
      </c>
      <c r="AJ26" s="14" t="s">
        <v>101</v>
      </c>
      <c r="AK26" s="14" t="s">
        <v>98</v>
      </c>
    </row>
    <row r="27" spans="1:37" x14ac:dyDescent="0.4">
      <c r="A27" s="83"/>
      <c r="C27" s="79">
        <f t="shared" si="4"/>
        <v>0</v>
      </c>
      <c r="D27" s="183"/>
      <c r="E27" s="295" t="str">
        <f t="shared" si="3"/>
        <v/>
      </c>
      <c r="F27" s="301" t="s">
        <v>118</v>
      </c>
      <c r="G27" s="121" t="s">
        <v>102</v>
      </c>
      <c r="H27" s="259" t="str">
        <f t="shared" si="5"/>
        <v>101-150</v>
      </c>
      <c r="I27" s="162"/>
      <c r="J27" s="162"/>
      <c r="K27" s="178"/>
      <c r="AA27" s="14" t="s">
        <v>101</v>
      </c>
      <c r="AB27" s="14">
        <v>1.1000000000000001</v>
      </c>
      <c r="AC27" s="14">
        <v>2.09999</v>
      </c>
      <c r="AD27" s="39">
        <v>2</v>
      </c>
      <c r="AG27" s="14" t="s">
        <v>96</v>
      </c>
      <c r="AH27" s="14" t="s">
        <v>97</v>
      </c>
      <c r="AI27" s="14" t="s">
        <v>101</v>
      </c>
      <c r="AJ27" s="56" t="s">
        <v>108</v>
      </c>
      <c r="AK27" s="14" t="s">
        <v>98</v>
      </c>
    </row>
    <row r="28" spans="1:37" x14ac:dyDescent="0.4">
      <c r="A28" s="83"/>
      <c r="C28" s="79">
        <f t="shared" si="4"/>
        <v>0</v>
      </c>
      <c r="D28" s="184"/>
      <c r="E28" s="296" t="str">
        <f t="shared" si="3"/>
        <v/>
      </c>
      <c r="F28" s="302" t="s">
        <v>118</v>
      </c>
      <c r="G28" s="123" t="s">
        <v>105</v>
      </c>
      <c r="H28" s="260" t="str">
        <f t="shared" si="5"/>
        <v>500+</v>
      </c>
      <c r="I28" s="163"/>
      <c r="J28" s="163"/>
      <c r="K28" s="176"/>
      <c r="AA28" s="14" t="s">
        <v>94</v>
      </c>
      <c r="AB28" s="14">
        <v>0</v>
      </c>
      <c r="AC28" s="14">
        <v>1.09999</v>
      </c>
      <c r="AD28" s="39">
        <v>1</v>
      </c>
      <c r="AE28" s="14" t="s">
        <v>119</v>
      </c>
      <c r="AG28" s="14" t="s">
        <v>96</v>
      </c>
      <c r="AH28" s="14" t="s">
        <v>97</v>
      </c>
      <c r="AI28" s="14" t="s">
        <v>101</v>
      </c>
      <c r="AJ28" s="14" t="s">
        <v>94</v>
      </c>
      <c r="AK28" s="14" t="s">
        <v>98</v>
      </c>
    </row>
    <row r="29" spans="1:37" x14ac:dyDescent="0.4">
      <c r="A29" s="83"/>
      <c r="C29" s="79">
        <f t="shared" si="4"/>
        <v>0</v>
      </c>
      <c r="D29" s="183"/>
      <c r="E29" s="291" t="s">
        <v>93</v>
      </c>
      <c r="F29" s="304" t="s">
        <v>112</v>
      </c>
      <c r="G29" s="124" t="s">
        <v>91</v>
      </c>
      <c r="H29" s="261" t="str">
        <f t="shared" si="5"/>
        <v>0-30</v>
      </c>
      <c r="I29" s="164"/>
      <c r="J29" s="164"/>
      <c r="K29" s="174"/>
      <c r="AG29" s="14" t="s">
        <v>96</v>
      </c>
      <c r="AH29" s="14" t="s">
        <v>97</v>
      </c>
      <c r="AI29" s="56" t="s">
        <v>108</v>
      </c>
      <c r="AJ29" s="14" t="s">
        <v>97</v>
      </c>
      <c r="AK29" s="14" t="s">
        <v>98</v>
      </c>
    </row>
    <row r="30" spans="1:37" x14ac:dyDescent="0.4">
      <c r="A30" s="83"/>
      <c r="C30" s="79">
        <f t="shared" si="4"/>
        <v>0</v>
      </c>
      <c r="D30" s="184"/>
      <c r="E30" s="292" t="s">
        <v>93</v>
      </c>
      <c r="F30" s="303" t="s">
        <v>112</v>
      </c>
      <c r="G30" s="121" t="s">
        <v>99</v>
      </c>
      <c r="H30" s="262" t="str">
        <f t="shared" si="5"/>
        <v>31-100</v>
      </c>
      <c r="I30" s="165"/>
      <c r="J30" s="165"/>
      <c r="K30" s="175"/>
      <c r="AG30" s="14" t="s">
        <v>96</v>
      </c>
      <c r="AH30" s="14" t="s">
        <v>97</v>
      </c>
      <c r="AI30" s="56" t="s">
        <v>108</v>
      </c>
      <c r="AJ30" s="14" t="s">
        <v>96</v>
      </c>
      <c r="AK30" s="14" t="s">
        <v>98</v>
      </c>
    </row>
    <row r="31" spans="1:37" x14ac:dyDescent="0.4">
      <c r="A31" s="83"/>
      <c r="C31" s="79">
        <f t="shared" si="4"/>
        <v>0</v>
      </c>
      <c r="D31" s="183"/>
      <c r="E31" s="292" t="s">
        <v>93</v>
      </c>
      <c r="F31" s="305" t="s">
        <v>112</v>
      </c>
      <c r="G31" s="121" t="s">
        <v>102</v>
      </c>
      <c r="H31" s="263" t="str">
        <f t="shared" si="5"/>
        <v>101-150</v>
      </c>
      <c r="I31" s="166"/>
      <c r="J31" s="166"/>
      <c r="K31" s="175"/>
      <c r="AG31" s="14" t="s">
        <v>96</v>
      </c>
      <c r="AH31" s="14" t="s">
        <v>97</v>
      </c>
      <c r="AI31" s="56" t="s">
        <v>108</v>
      </c>
      <c r="AJ31" s="14" t="s">
        <v>104</v>
      </c>
      <c r="AK31" s="14" t="s">
        <v>98</v>
      </c>
    </row>
    <row r="32" spans="1:37" x14ac:dyDescent="0.4">
      <c r="A32" s="83"/>
      <c r="C32" s="79">
        <f t="shared" si="4"/>
        <v>0</v>
      </c>
      <c r="D32" s="184"/>
      <c r="E32" s="292" t="s">
        <v>93</v>
      </c>
      <c r="F32" s="306" t="s">
        <v>112</v>
      </c>
      <c r="G32" s="123" t="s">
        <v>105</v>
      </c>
      <c r="H32" s="264" t="str">
        <f t="shared" si="5"/>
        <v>500+</v>
      </c>
      <c r="I32" s="167"/>
      <c r="J32" s="167"/>
      <c r="K32" s="176"/>
      <c r="AG32" s="14" t="s">
        <v>96</v>
      </c>
      <c r="AH32" s="14" t="s">
        <v>97</v>
      </c>
      <c r="AI32" s="56" t="s">
        <v>108</v>
      </c>
      <c r="AJ32" s="14" t="s">
        <v>101</v>
      </c>
      <c r="AK32" s="14" t="s">
        <v>98</v>
      </c>
    </row>
    <row r="33" spans="1:37" x14ac:dyDescent="0.4">
      <c r="A33" s="83"/>
      <c r="C33" s="79">
        <f t="shared" si="4"/>
        <v>0</v>
      </c>
      <c r="D33" s="183"/>
      <c r="E33" s="292" t="s">
        <v>93</v>
      </c>
      <c r="F33" s="307" t="s">
        <v>113</v>
      </c>
      <c r="G33" s="124" t="s">
        <v>91</v>
      </c>
      <c r="H33" s="265" t="str">
        <f t="shared" ref="H33:H40" si="6">H5</f>
        <v>0-30</v>
      </c>
      <c r="I33" s="180"/>
      <c r="J33" s="180"/>
      <c r="K33" s="174"/>
      <c r="AG33" s="14" t="s">
        <v>96</v>
      </c>
      <c r="AH33" s="14" t="s">
        <v>97</v>
      </c>
      <c r="AI33" s="56" t="s">
        <v>108</v>
      </c>
      <c r="AJ33" s="56" t="s">
        <v>108</v>
      </c>
      <c r="AK33" s="14" t="s">
        <v>98</v>
      </c>
    </row>
    <row r="34" spans="1:37" x14ac:dyDescent="0.4">
      <c r="A34" s="83"/>
      <c r="C34" s="79">
        <f t="shared" si="4"/>
        <v>0</v>
      </c>
      <c r="D34" s="184"/>
      <c r="E34" s="292" t="s">
        <v>93</v>
      </c>
      <c r="F34" s="308" t="s">
        <v>113</v>
      </c>
      <c r="G34" s="121" t="s">
        <v>99</v>
      </c>
      <c r="H34" s="266" t="str">
        <f t="shared" si="6"/>
        <v>31-100</v>
      </c>
      <c r="I34" s="181"/>
      <c r="J34" s="181"/>
      <c r="K34" s="175"/>
      <c r="AG34" s="14" t="s">
        <v>96</v>
      </c>
      <c r="AH34" s="14" t="s">
        <v>97</v>
      </c>
      <c r="AI34" s="56" t="s">
        <v>108</v>
      </c>
      <c r="AJ34" s="14" t="s">
        <v>94</v>
      </c>
      <c r="AK34" s="14" t="s">
        <v>98</v>
      </c>
    </row>
    <row r="35" spans="1:37" x14ac:dyDescent="0.4">
      <c r="A35" s="83"/>
      <c r="C35" s="79">
        <f t="shared" si="4"/>
        <v>0</v>
      </c>
      <c r="D35" s="183"/>
      <c r="E35" s="292" t="s">
        <v>93</v>
      </c>
      <c r="F35" s="305" t="s">
        <v>113</v>
      </c>
      <c r="G35" s="121" t="s">
        <v>102</v>
      </c>
      <c r="H35" s="263" t="str">
        <f t="shared" si="6"/>
        <v>101-150</v>
      </c>
      <c r="I35" s="166"/>
      <c r="J35" s="166"/>
      <c r="K35" s="175"/>
      <c r="AG35" s="14" t="s">
        <v>96</v>
      </c>
      <c r="AH35" s="14" t="s">
        <v>97</v>
      </c>
      <c r="AI35" s="14" t="s">
        <v>94</v>
      </c>
      <c r="AJ35" s="14" t="s">
        <v>97</v>
      </c>
      <c r="AK35" s="14" t="s">
        <v>98</v>
      </c>
    </row>
    <row r="36" spans="1:37" x14ac:dyDescent="0.4">
      <c r="A36" s="83"/>
      <c r="C36" s="79">
        <f t="shared" si="4"/>
        <v>0</v>
      </c>
      <c r="D36" s="184"/>
      <c r="E36" s="292" t="s">
        <v>93</v>
      </c>
      <c r="F36" s="302" t="s">
        <v>113</v>
      </c>
      <c r="G36" s="123" t="s">
        <v>105</v>
      </c>
      <c r="H36" s="260" t="str">
        <f t="shared" si="6"/>
        <v>500+</v>
      </c>
      <c r="I36" s="163"/>
      <c r="J36" s="163"/>
      <c r="K36" s="176"/>
      <c r="AG36" s="14" t="s">
        <v>96</v>
      </c>
      <c r="AH36" s="14" t="s">
        <v>97</v>
      </c>
      <c r="AI36" s="14" t="s">
        <v>94</v>
      </c>
      <c r="AJ36" s="14" t="s">
        <v>96</v>
      </c>
      <c r="AK36" s="14" t="s">
        <v>98</v>
      </c>
    </row>
    <row r="37" spans="1:37" x14ac:dyDescent="0.4">
      <c r="C37" s="79">
        <f t="shared" si="4"/>
        <v>0</v>
      </c>
      <c r="D37" s="183"/>
      <c r="E37" s="292" t="s">
        <v>93</v>
      </c>
      <c r="F37" s="307" t="s">
        <v>118</v>
      </c>
      <c r="G37" s="124" t="s">
        <v>91</v>
      </c>
      <c r="H37" s="265" t="str">
        <f t="shared" si="6"/>
        <v>0-30</v>
      </c>
      <c r="I37" s="180"/>
      <c r="J37" s="180"/>
      <c r="K37" s="174"/>
      <c r="AG37" s="14" t="s">
        <v>96</v>
      </c>
      <c r="AH37" s="14" t="s">
        <v>97</v>
      </c>
      <c r="AI37" s="14" t="s">
        <v>94</v>
      </c>
      <c r="AJ37" s="14" t="s">
        <v>104</v>
      </c>
      <c r="AK37" s="14" t="s">
        <v>98</v>
      </c>
    </row>
    <row r="38" spans="1:37" x14ac:dyDescent="0.4">
      <c r="C38" s="79">
        <f t="shared" si="4"/>
        <v>0</v>
      </c>
      <c r="D38" s="184"/>
      <c r="E38" s="292" t="s">
        <v>93</v>
      </c>
      <c r="F38" s="308" t="s">
        <v>118</v>
      </c>
      <c r="G38" s="121" t="s">
        <v>99</v>
      </c>
      <c r="H38" s="266" t="str">
        <f t="shared" si="6"/>
        <v>31-100</v>
      </c>
      <c r="I38" s="181"/>
      <c r="J38" s="181"/>
      <c r="K38" s="175"/>
      <c r="AG38" s="14" t="s">
        <v>96</v>
      </c>
      <c r="AH38" s="14" t="s">
        <v>97</v>
      </c>
      <c r="AI38" s="14" t="s">
        <v>94</v>
      </c>
      <c r="AJ38" s="14" t="s">
        <v>101</v>
      </c>
      <c r="AK38" s="14" t="s">
        <v>98</v>
      </c>
    </row>
    <row r="39" spans="1:37" x14ac:dyDescent="0.4">
      <c r="C39" s="79">
        <f t="shared" si="4"/>
        <v>0</v>
      </c>
      <c r="D39" s="183"/>
      <c r="E39" s="292" t="s">
        <v>93</v>
      </c>
      <c r="F39" s="305" t="s">
        <v>118</v>
      </c>
      <c r="G39" s="121" t="s">
        <v>102</v>
      </c>
      <c r="H39" s="263" t="str">
        <f t="shared" si="6"/>
        <v>101-150</v>
      </c>
      <c r="I39" s="166"/>
      <c r="J39" s="166"/>
      <c r="K39" s="175"/>
      <c r="AG39" s="14" t="s">
        <v>96</v>
      </c>
      <c r="AH39" s="14" t="s">
        <v>97</v>
      </c>
      <c r="AI39" s="14" t="s">
        <v>94</v>
      </c>
      <c r="AJ39" s="56" t="s">
        <v>108</v>
      </c>
      <c r="AK39" s="14" t="s">
        <v>98</v>
      </c>
    </row>
    <row r="40" spans="1:37" x14ac:dyDescent="0.4">
      <c r="C40" s="79">
        <f t="shared" si="4"/>
        <v>0</v>
      </c>
      <c r="D40" s="185"/>
      <c r="E40" s="293" t="s">
        <v>93</v>
      </c>
      <c r="F40" s="309" t="s">
        <v>118</v>
      </c>
      <c r="G40" s="123" t="s">
        <v>105</v>
      </c>
      <c r="H40" s="267" t="str">
        <f t="shared" si="6"/>
        <v>500+</v>
      </c>
      <c r="I40" s="182"/>
      <c r="J40" s="182"/>
      <c r="K40" s="176"/>
      <c r="AG40" s="14" t="s">
        <v>96</v>
      </c>
      <c r="AH40" s="14" t="s">
        <v>97</v>
      </c>
      <c r="AI40" s="14" t="s">
        <v>94</v>
      </c>
      <c r="AJ40" s="14" t="s">
        <v>94</v>
      </c>
      <c r="AK40" s="14" t="s">
        <v>98</v>
      </c>
    </row>
    <row r="41" spans="1:37" x14ac:dyDescent="0.4">
      <c r="AG41" s="14" t="s">
        <v>96</v>
      </c>
      <c r="AH41" s="14" t="s">
        <v>96</v>
      </c>
      <c r="AI41" s="14" t="s">
        <v>97</v>
      </c>
      <c r="AJ41" s="14" t="s">
        <v>97</v>
      </c>
      <c r="AK41" s="14" t="s">
        <v>98</v>
      </c>
    </row>
    <row r="42" spans="1:37" x14ac:dyDescent="0.4">
      <c r="D42" s="17" t="s">
        <v>1908</v>
      </c>
      <c r="F42" s="38"/>
      <c r="AG42" s="14" t="s">
        <v>96</v>
      </c>
      <c r="AH42" s="14" t="s">
        <v>96</v>
      </c>
      <c r="AI42" s="14" t="s">
        <v>97</v>
      </c>
      <c r="AJ42" s="14" t="s">
        <v>96</v>
      </c>
      <c r="AK42" s="14" t="s">
        <v>98</v>
      </c>
    </row>
    <row r="43" spans="1:37" hidden="1" x14ac:dyDescent="0.4">
      <c r="C43" s="14">
        <v>4.21</v>
      </c>
      <c r="D43" s="14">
        <v>4.22</v>
      </c>
      <c r="E43" s="14">
        <v>4.2300000000000004</v>
      </c>
      <c r="F43" s="14">
        <v>4.24</v>
      </c>
      <c r="G43" s="14">
        <v>4.25</v>
      </c>
      <c r="H43" s="14">
        <v>4.26</v>
      </c>
      <c r="AG43" s="14" t="s">
        <v>96</v>
      </c>
      <c r="AH43" s="14" t="s">
        <v>96</v>
      </c>
      <c r="AI43" s="14" t="s">
        <v>97</v>
      </c>
      <c r="AJ43" s="14" t="s">
        <v>104</v>
      </c>
      <c r="AK43" s="14" t="s">
        <v>98</v>
      </c>
    </row>
    <row r="44" spans="1:37" ht="33.6" x14ac:dyDescent="0.4">
      <c r="C44" s="58" t="s">
        <v>40</v>
      </c>
      <c r="D44" s="58" t="s">
        <v>111</v>
      </c>
      <c r="E44" s="58" t="s">
        <v>76</v>
      </c>
      <c r="F44" s="58" t="s">
        <v>120</v>
      </c>
      <c r="G44" s="58" t="s">
        <v>121</v>
      </c>
      <c r="H44" s="58" t="s">
        <v>122</v>
      </c>
      <c r="AG44" s="14" t="s">
        <v>96</v>
      </c>
      <c r="AH44" s="14" t="s">
        <v>96</v>
      </c>
      <c r="AI44" s="14" t="s">
        <v>97</v>
      </c>
      <c r="AJ44" s="14" t="s">
        <v>101</v>
      </c>
      <c r="AK44" s="14" t="s">
        <v>98</v>
      </c>
    </row>
    <row r="45" spans="1:37" x14ac:dyDescent="0.4">
      <c r="C45" s="74">
        <f>C5</f>
        <v>0</v>
      </c>
      <c r="D45" s="74" t="str">
        <f>E6</f>
        <v/>
      </c>
      <c r="E45" s="74" t="str">
        <f>G5</f>
        <v>Sampling zone 1</v>
      </c>
      <c r="F45" s="75" t="str">
        <f>IFERROR(AVERAGE(I5:J5,I17:J17,I21:J21,I25:J25), "")</f>
        <v/>
      </c>
      <c r="G45" s="55" t="str" cm="1">
        <f t="array" ref="G45">IFERROR(INDEX(Table5172[EQS category ref], MATCH(1, (Table47[[#This Row],[Abiotic indicator]]=Table5172[Abiotic index ref])*(Table47[[#This Row],[Avg. indicator value]]&gt;=Table5172[Equal or larger than])*(Table47[[#This Row],[Avg. indicator value]]&lt;Table5172[smaller than]),0)), "")</f>
        <v/>
      </c>
      <c r="H45" s="55" t="str" cm="1">
        <f t="array" ref="H45">IFERROR(_xlfn.IFS(Table47[[#This Row],[EQS category]]="Bad",5, Table47[[#This Row],[EQS category]]="Poor",4, Table47[[#This Row],[EQS category]]="Moderate",3, Table47[[#This Row],[EQS category]]="Good",2, Table47[[#This Row],[EQS category]]="High",1), "")</f>
        <v/>
      </c>
      <c r="AG45" s="14" t="s">
        <v>96</v>
      </c>
      <c r="AH45" s="14" t="s">
        <v>96</v>
      </c>
      <c r="AI45" s="14" t="s">
        <v>97</v>
      </c>
      <c r="AJ45" s="56" t="s">
        <v>108</v>
      </c>
      <c r="AK45" s="14" t="s">
        <v>98</v>
      </c>
    </row>
    <row r="46" spans="1:37" x14ac:dyDescent="0.4">
      <c r="C46" s="74">
        <f>C9</f>
        <v>0</v>
      </c>
      <c r="D46" s="74" t="str">
        <f>E9</f>
        <v>Redox potential (EhNHE)</v>
      </c>
      <c r="E46" s="74" t="str">
        <f>G9</f>
        <v>Sampling zone 1</v>
      </c>
      <c r="F46" s="75" t="str">
        <f>IFERROR(AVERAGE(I9:J9,I29:J29,I33:J33,I37:J37), "")</f>
        <v/>
      </c>
      <c r="G46" s="55" t="str" cm="1">
        <f t="array" ref="G46">IFERROR(INDEX(Table5172[EQS category ref], MATCH(1, (Table47[[#This Row],[Abiotic indicator]]=Table5172[Abiotic index ref])*(Table47[[#This Row],[Avg. indicator value]]&gt;=Table5172[Equal or larger than])*(Table47[[#This Row],[Avg. indicator value]]&lt;Table5172[smaller than]),0)), "")</f>
        <v/>
      </c>
      <c r="H46" s="55" t="str" cm="1">
        <f t="array" ref="H46">IFERROR(_xlfn.IFS(Table47[[#This Row],[EQS category]]="Bad",5, Table47[[#This Row],[EQS category]]="Poor",4, Table47[[#This Row],[EQS category]]="Moderate",3, Table47[[#This Row],[EQS category]]="Good",2, Table47[[#This Row],[EQS category]]="High",1), "")</f>
        <v/>
      </c>
      <c r="AG46" s="14" t="s">
        <v>96</v>
      </c>
      <c r="AH46" s="14" t="s">
        <v>96</v>
      </c>
      <c r="AI46" s="14" t="s">
        <v>97</v>
      </c>
      <c r="AJ46" s="14" t="s">
        <v>94</v>
      </c>
      <c r="AK46" s="14" t="s">
        <v>98</v>
      </c>
    </row>
    <row r="47" spans="1:37" x14ac:dyDescent="0.4">
      <c r="C47" s="74">
        <f>C6</f>
        <v>0</v>
      </c>
      <c r="D47" s="74" t="str">
        <f>E6</f>
        <v/>
      </c>
      <c r="E47" s="74" t="str">
        <f>G6</f>
        <v>Sampling zone 2</v>
      </c>
      <c r="F47" s="75" t="str">
        <f>IFERROR(AVERAGE(I6:J6,I18:J18,I22:J22,I26:J26), "")</f>
        <v/>
      </c>
      <c r="G47" s="55" t="str" cm="1">
        <f t="array" ref="G47">IFERROR(INDEX(Table5172[EQS category ref], MATCH(1, (Table47[[#This Row],[Abiotic indicator]]=Table5172[Abiotic index ref])*(Table47[[#This Row],[Avg. indicator value]]&gt;=Table5172[Equal or larger than])*(Table47[[#This Row],[Avg. indicator value]]&lt;Table5172[smaller than]),0)), "")</f>
        <v/>
      </c>
      <c r="H47" s="55" t="str" cm="1">
        <f t="array" ref="H47">IFERROR(_xlfn.IFS(Table47[[#This Row],[EQS category]]="Bad",5, Table47[[#This Row],[EQS category]]="Poor",4, Table47[[#This Row],[EQS category]]="Moderate",3, Table47[[#This Row],[EQS category]]="Good",2, Table47[[#This Row],[EQS category]]="High",1), "")</f>
        <v/>
      </c>
      <c r="AG47" s="14" t="s">
        <v>96</v>
      </c>
      <c r="AH47" s="14" t="s">
        <v>96</v>
      </c>
      <c r="AI47" s="14" t="s">
        <v>96</v>
      </c>
      <c r="AJ47" s="14" t="s">
        <v>97</v>
      </c>
      <c r="AK47" s="14" t="s">
        <v>98</v>
      </c>
    </row>
    <row r="48" spans="1:37" x14ac:dyDescent="0.4">
      <c r="C48" s="74">
        <f>C10</f>
        <v>0</v>
      </c>
      <c r="D48" s="74" t="str">
        <f>E10</f>
        <v>Redox potential (EhNHE)</v>
      </c>
      <c r="E48" s="74" t="str">
        <f>G10</f>
        <v>Sampling zone 2</v>
      </c>
      <c r="F48" s="75" t="str">
        <f>IFERROR(AVERAGE(I10:J10,I30:J30,I34:J34,I38:J38), "")</f>
        <v/>
      </c>
      <c r="G48" s="55" t="str" cm="1">
        <f t="array" ref="G48">IFERROR(INDEX(Table5172[EQS category ref], MATCH(1, (Table47[[#This Row],[Abiotic indicator]]=Table5172[Abiotic index ref])*(Table47[[#This Row],[Avg. indicator value]]&gt;=Table5172[Equal or larger than])*(Table47[[#This Row],[Avg. indicator value]]&lt;Table5172[smaller than]),0)), "")</f>
        <v/>
      </c>
      <c r="H48" s="55" t="str" cm="1">
        <f t="array" ref="H48">IFERROR(_xlfn.IFS(Table47[[#This Row],[EQS category]]="Bad",5, Table47[[#This Row],[EQS category]]="Poor",4, Table47[[#This Row],[EQS category]]="Moderate",3, Table47[[#This Row],[EQS category]]="Good",2, Table47[[#This Row],[EQS category]]="High",1), "")</f>
        <v/>
      </c>
      <c r="AG48" s="14" t="s">
        <v>96</v>
      </c>
      <c r="AH48" s="14" t="s">
        <v>96</v>
      </c>
      <c r="AI48" s="14" t="s">
        <v>96</v>
      </c>
      <c r="AJ48" s="14" t="s">
        <v>96</v>
      </c>
      <c r="AK48" s="14" t="s">
        <v>98</v>
      </c>
    </row>
    <row r="49" spans="3:37" x14ac:dyDescent="0.4">
      <c r="C49" s="74">
        <f>C7</f>
        <v>0</v>
      </c>
      <c r="D49" s="74" t="str">
        <f>E7</f>
        <v/>
      </c>
      <c r="E49" s="74" t="str">
        <f>G7</f>
        <v>Sampling zone 3</v>
      </c>
      <c r="F49" s="75" t="str">
        <f>IFERROR(AVERAGE(I7:J7,I19:J19,I23:J23,I27:J27), "")</f>
        <v/>
      </c>
      <c r="G49" s="55" t="str" cm="1">
        <f t="array" ref="G49">IFERROR(INDEX(Table5172[EQS category ref], MATCH(1, (Table47[[#This Row],[Abiotic indicator]]=Table5172[Abiotic index ref])*(Table47[[#This Row],[Avg. indicator value]]&gt;=Table5172[Equal or larger than])*(Table47[[#This Row],[Avg. indicator value]]&lt;Table5172[smaller than]),0)), "")</f>
        <v/>
      </c>
      <c r="H49" s="55" t="str" cm="1">
        <f t="array" ref="H49">IFERROR(_xlfn.IFS(Table47[[#This Row],[EQS category]]="Bad",5, Table47[[#This Row],[EQS category]]="Poor",4, Table47[[#This Row],[EQS category]]="Moderate",3, Table47[[#This Row],[EQS category]]="Good",2, Table47[[#This Row],[EQS category]]="High",1), "")</f>
        <v/>
      </c>
      <c r="AG49" s="14" t="s">
        <v>96</v>
      </c>
      <c r="AH49" s="14" t="s">
        <v>96</v>
      </c>
      <c r="AI49" s="14" t="s">
        <v>96</v>
      </c>
      <c r="AJ49" s="14" t="s">
        <v>104</v>
      </c>
      <c r="AK49" s="14" t="s">
        <v>98</v>
      </c>
    </row>
    <row r="50" spans="3:37" x14ac:dyDescent="0.4">
      <c r="C50" s="74">
        <f>C11</f>
        <v>0</v>
      </c>
      <c r="D50" s="74" t="str">
        <f>E11</f>
        <v>Redox potential (EhNHE)</v>
      </c>
      <c r="E50" s="74" t="str">
        <f>G11</f>
        <v>Sampling zone 3</v>
      </c>
      <c r="F50" s="75" t="str">
        <f>IFERROR(AVERAGE(I11:J11,I31:J31,I35:J35,I39:J39), "")</f>
        <v/>
      </c>
      <c r="G50" s="55" t="str" cm="1">
        <f t="array" ref="G50">IFERROR(INDEX(Table5172[EQS category ref], MATCH(1, (Table47[[#This Row],[Abiotic indicator]]=Table5172[Abiotic index ref])*(Table47[[#This Row],[Avg. indicator value]]&gt;=Table5172[Equal or larger than])*(Table47[[#This Row],[Avg. indicator value]]&lt;Table5172[smaller than]),0)), "")</f>
        <v/>
      </c>
      <c r="H50" s="55" t="str" cm="1">
        <f t="array" ref="H50">IFERROR(_xlfn.IFS(Table47[[#This Row],[EQS category]]="Bad",5, Table47[[#This Row],[EQS category]]="Poor",4, Table47[[#This Row],[EQS category]]="Moderate",3, Table47[[#This Row],[EQS category]]="Good",2, Table47[[#This Row],[EQS category]]="High",1), "")</f>
        <v/>
      </c>
      <c r="AG50" s="14" t="s">
        <v>96</v>
      </c>
      <c r="AH50" s="14" t="s">
        <v>96</v>
      </c>
      <c r="AI50" s="14" t="s">
        <v>96</v>
      </c>
      <c r="AJ50" s="14" t="s">
        <v>101</v>
      </c>
      <c r="AK50" s="14" t="s">
        <v>98</v>
      </c>
    </row>
    <row r="51" spans="3:37" x14ac:dyDescent="0.4">
      <c r="C51" s="74">
        <f>C60</f>
        <v>0</v>
      </c>
      <c r="D51" s="74" t="str">
        <f>E8</f>
        <v/>
      </c>
      <c r="E51" s="74" t="str">
        <f>G8</f>
        <v>Reference zone</v>
      </c>
      <c r="F51" s="75" t="str">
        <f>IFERROR(AVERAGE(I8:J8,I20:J20,I24:J24,I28:J28), "")</f>
        <v/>
      </c>
      <c r="G51" s="55" t="str" cm="1">
        <f t="array" ref="G51">IFERROR(INDEX(Table5172[EQS category ref], MATCH(1, (Table47[[#This Row],[Abiotic indicator]]=Table5172[Abiotic index ref])*(Table47[[#This Row],[Avg. indicator value]]&gt;=Table5172[Equal or larger than])*(Table47[[#This Row],[Avg. indicator value]]&lt;Table5172[smaller than]),0)), "")</f>
        <v/>
      </c>
      <c r="H51" s="55" t="str" cm="1">
        <f t="array" ref="H51">IFERROR(_xlfn.IFS(Table47[[#This Row],[EQS category]]="Bad",5, Table47[[#This Row],[EQS category]]="Poor",4, Table47[[#This Row],[EQS category]]="Moderate",3, Table47[[#This Row],[EQS category]]="Good",2, Table47[[#This Row],[EQS category]]="High",1), "")</f>
        <v/>
      </c>
      <c r="AG51" s="14" t="s">
        <v>96</v>
      </c>
      <c r="AH51" s="14" t="s">
        <v>96</v>
      </c>
      <c r="AI51" s="14" t="s">
        <v>96</v>
      </c>
      <c r="AJ51" s="56" t="s">
        <v>108</v>
      </c>
      <c r="AK51" s="14" t="s">
        <v>98</v>
      </c>
    </row>
    <row r="52" spans="3:37" x14ac:dyDescent="0.4">
      <c r="C52" s="74">
        <f>C12</f>
        <v>0</v>
      </c>
      <c r="D52" s="74" t="str">
        <f>E12</f>
        <v>Redox potential (EhNHE)</v>
      </c>
      <c r="E52" s="74" t="str">
        <f>G12</f>
        <v>Reference zone</v>
      </c>
      <c r="F52" s="75" t="str">
        <f>IFERROR(AVERAGE(I12:J12,I32:J32,I36:J36,I40:J40), "")</f>
        <v/>
      </c>
      <c r="G52" s="55" t="str" cm="1">
        <f t="array" ref="G52">IFERROR(INDEX(Table5172[EQS category ref], MATCH(1, (Table47[[#This Row],[Abiotic indicator]]=Table5172[Abiotic index ref])*(Table47[[#This Row],[Avg. indicator value]]&gt;=Table5172[Equal or larger than])*(Table47[[#This Row],[Avg. indicator value]]&lt;Table5172[smaller than]),0)), "")</f>
        <v/>
      </c>
      <c r="H52" s="55" t="str" cm="1">
        <f t="array" ref="H52">IFERROR(_xlfn.IFS(Table47[[#This Row],[EQS category]]="Bad",5, Table47[[#This Row],[EQS category]]="Poor",4, Table47[[#This Row],[EQS category]]="Moderate",3, Table47[[#This Row],[EQS category]]="Good",2, Table47[[#This Row],[EQS category]]="High",1), "")</f>
        <v/>
      </c>
      <c r="AG52" s="14" t="s">
        <v>96</v>
      </c>
      <c r="AH52" s="14" t="s">
        <v>96</v>
      </c>
      <c r="AI52" s="14" t="s">
        <v>96</v>
      </c>
      <c r="AJ52" s="14" t="s">
        <v>94</v>
      </c>
      <c r="AK52" s="14" t="s">
        <v>98</v>
      </c>
    </row>
    <row r="53" spans="3:37" x14ac:dyDescent="0.4">
      <c r="AG53" s="14" t="s">
        <v>96</v>
      </c>
      <c r="AH53" s="14" t="s">
        <v>96</v>
      </c>
      <c r="AI53" s="14" t="s">
        <v>104</v>
      </c>
      <c r="AJ53" s="14" t="s">
        <v>97</v>
      </c>
      <c r="AK53" s="14" t="s">
        <v>98</v>
      </c>
    </row>
    <row r="54" spans="3:37" x14ac:dyDescent="0.4">
      <c r="D54" s="17" t="s">
        <v>1904</v>
      </c>
      <c r="E54" s="19"/>
      <c r="F54" s="19"/>
      <c r="AG54" s="14" t="s">
        <v>96</v>
      </c>
      <c r="AH54" s="14" t="s">
        <v>96</v>
      </c>
      <c r="AI54" s="14" t="s">
        <v>104</v>
      </c>
      <c r="AJ54" s="14" t="s">
        <v>96</v>
      </c>
      <c r="AK54" s="14" t="s">
        <v>98</v>
      </c>
    </row>
    <row r="55" spans="3:37" hidden="1" x14ac:dyDescent="0.4">
      <c r="C55" s="14">
        <v>4.2699999999999996</v>
      </c>
      <c r="D55" s="14">
        <v>4.28</v>
      </c>
      <c r="E55" s="14">
        <v>4.29</v>
      </c>
      <c r="F55" s="14">
        <v>4.3099999999999996</v>
      </c>
      <c r="AG55" s="14" t="s">
        <v>96</v>
      </c>
      <c r="AH55" s="14" t="s">
        <v>96</v>
      </c>
      <c r="AI55" s="14" t="s">
        <v>104</v>
      </c>
      <c r="AJ55" s="14" t="s">
        <v>104</v>
      </c>
      <c r="AK55" s="14" t="s">
        <v>98</v>
      </c>
    </row>
    <row r="56" spans="3:37" ht="34.200000000000003" thickBot="1" x14ac:dyDescent="0.45">
      <c r="C56" s="63" t="s">
        <v>124</v>
      </c>
      <c r="D56" s="101" t="s">
        <v>76</v>
      </c>
      <c r="E56" s="127" t="s">
        <v>125</v>
      </c>
      <c r="F56" s="127" t="s">
        <v>126</v>
      </c>
      <c r="AG56" s="14" t="s">
        <v>96</v>
      </c>
      <c r="AH56" s="14" t="s">
        <v>96</v>
      </c>
      <c r="AI56" s="14" t="s">
        <v>104</v>
      </c>
      <c r="AJ56" s="14" t="s">
        <v>101</v>
      </c>
      <c r="AK56" s="14" t="s">
        <v>98</v>
      </c>
    </row>
    <row r="57" spans="3:37" ht="17.399999999999999" thickTop="1" x14ac:dyDescent="0.4">
      <c r="C57" s="74">
        <f t="shared" ref="C57:C60" si="7">C47</f>
        <v>0</v>
      </c>
      <c r="D57" s="55" t="str">
        <f>E45</f>
        <v>Sampling zone 1</v>
      </c>
      <c r="E57" s="75" t="str" cm="1">
        <f t="array" ref="E57">IFERROR((_xlfn.IFS(D45= "Total Free Sulphide (S2-UV μM)", (H45*0.75+H46*0.25), D45="Total Free Sulphide (S2-ISE μM)", (H45+H46)/2)), "")</f>
        <v/>
      </c>
      <c r="F57" s="103" t="str" cm="1">
        <f t="array" ref="F57">IFERROR(( INDEX(Table20[EQS category ref], MATCH(1,(Table48[[#This Row],[Zone EQS score]]&gt;Table20[Larger than])*(Table48[[#This Row],[Zone EQS score]]&lt;=Table20[Equal or smaller than]),0))), "")</f>
        <v/>
      </c>
      <c r="AG57" s="14" t="s">
        <v>96</v>
      </c>
      <c r="AH57" s="14" t="s">
        <v>96</v>
      </c>
      <c r="AI57" s="14" t="s">
        <v>104</v>
      </c>
      <c r="AJ57" s="56" t="s">
        <v>108</v>
      </c>
      <c r="AK57" s="14" t="s">
        <v>98</v>
      </c>
    </row>
    <row r="58" spans="3:37" x14ac:dyDescent="0.4">
      <c r="C58" s="74">
        <f t="shared" si="7"/>
        <v>0</v>
      </c>
      <c r="D58" s="79" t="str">
        <f>E47</f>
        <v>Sampling zone 2</v>
      </c>
      <c r="E58" s="75" t="str" cm="1">
        <f t="array" ref="E58">IFERROR((_xlfn.IFS(D47= "Total Free Sulphide (S2-UV μM)", (H47*0.75+H48*0.25), D47="Total Free Sulphide (S2-ISE μM)", (H47+H48)/2)), "")</f>
        <v/>
      </c>
      <c r="F58" s="103" t="str" cm="1">
        <f t="array" ref="F58">IFERROR(( INDEX(Table20[EQS category ref], MATCH(1,(Table48[[#This Row],[Zone EQS score]]&gt;Table20[Larger than])*(Table48[[#This Row],[Zone EQS score]]&lt;=Table20[Equal or smaller than]),0))), "")</f>
        <v/>
      </c>
      <c r="AG58" s="14" t="s">
        <v>96</v>
      </c>
      <c r="AH58" s="14" t="s">
        <v>96</v>
      </c>
      <c r="AI58" s="14" t="s">
        <v>104</v>
      </c>
      <c r="AJ58" s="14" t="s">
        <v>94</v>
      </c>
      <c r="AK58" s="14" t="s">
        <v>98</v>
      </c>
    </row>
    <row r="59" spans="3:37" x14ac:dyDescent="0.4">
      <c r="C59" s="74">
        <f t="shared" si="7"/>
        <v>0</v>
      </c>
      <c r="D59" s="79" t="str">
        <f>E49</f>
        <v>Sampling zone 3</v>
      </c>
      <c r="E59" s="75" t="str" cm="1">
        <f t="array" ref="E59">IFERROR((_xlfn.IFS(D49= "Total Free Sulphide (S2-UV μM)", (H49*0.75+H50*0.25), D49="Total Free Sulphide (S2-ISE μM)", (H49+H50)/2)), "")</f>
        <v/>
      </c>
      <c r="F59" s="103" t="str" cm="1">
        <f t="array" ref="F59">IFERROR(( INDEX(Table20[EQS category ref], MATCH(1,(Table48[[#This Row],[Zone EQS score]]&gt;Table20[Larger than])*(Table48[[#This Row],[Zone EQS score]]&lt;=Table20[Equal or smaller than]),0))), "")</f>
        <v/>
      </c>
      <c r="AG59" s="14" t="s">
        <v>96</v>
      </c>
      <c r="AH59" s="14" t="s">
        <v>96</v>
      </c>
      <c r="AI59" s="14" t="s">
        <v>101</v>
      </c>
      <c r="AJ59" s="14" t="s">
        <v>97</v>
      </c>
      <c r="AK59" s="14" t="s">
        <v>98</v>
      </c>
    </row>
    <row r="60" spans="3:37" x14ac:dyDescent="0.4">
      <c r="C60" s="74">
        <f t="shared" si="7"/>
        <v>0</v>
      </c>
      <c r="D60" s="79" t="str">
        <f>E51</f>
        <v>Reference zone</v>
      </c>
      <c r="E60" s="75" t="str" cm="1">
        <f t="array" ref="E60">IFERROR((_xlfn.IFS(D51= "Total Free Sulphide (S2-UV μM)", (H51*0.75+H52*0.25), D51="Total Free Sulphide (S2-ISE μM)", (H51+H52)/2)), "")</f>
        <v/>
      </c>
      <c r="F60" s="103" t="str" cm="1">
        <f t="array" ref="F60">IFERROR(( INDEX(Table20[EQS category ref], MATCH(1,(Table48[[#This Row],[Zone EQS score]]&gt;Table20[Larger than])*(Table48[[#This Row],[Zone EQS score]]&lt;=Table20[Equal or smaller than]),0))), "")</f>
        <v/>
      </c>
      <c r="AG60" s="14" t="s">
        <v>96</v>
      </c>
      <c r="AH60" s="14" t="s">
        <v>96</v>
      </c>
      <c r="AI60" s="14" t="s">
        <v>101</v>
      </c>
      <c r="AJ60" s="14" t="s">
        <v>96</v>
      </c>
      <c r="AK60" s="14" t="s">
        <v>98</v>
      </c>
    </row>
    <row r="61" spans="3:37" x14ac:dyDescent="0.4">
      <c r="AG61" s="14" t="s">
        <v>96</v>
      </c>
      <c r="AH61" s="14" t="s">
        <v>96</v>
      </c>
      <c r="AI61" s="14" t="s">
        <v>101</v>
      </c>
      <c r="AJ61" s="14" t="s">
        <v>104</v>
      </c>
      <c r="AK61" s="14" t="s">
        <v>98</v>
      </c>
    </row>
    <row r="62" spans="3:37" x14ac:dyDescent="0.4">
      <c r="D62" s="17" t="s">
        <v>1903</v>
      </c>
      <c r="AG62" s="14" t="s">
        <v>96</v>
      </c>
      <c r="AH62" s="14" t="s">
        <v>96</v>
      </c>
      <c r="AI62" s="14" t="s">
        <v>101</v>
      </c>
      <c r="AJ62" s="14" t="s">
        <v>101</v>
      </c>
      <c r="AK62" s="14" t="s">
        <v>98</v>
      </c>
    </row>
    <row r="63" spans="3:37" hidden="1" x14ac:dyDescent="0.4">
      <c r="C63" s="14">
        <v>4.32</v>
      </c>
      <c r="D63" s="14">
        <v>4.33</v>
      </c>
      <c r="AG63" s="14" t="s">
        <v>96</v>
      </c>
      <c r="AH63" s="14" t="s">
        <v>96</v>
      </c>
      <c r="AI63" s="14" t="s">
        <v>101</v>
      </c>
      <c r="AJ63" s="56" t="s">
        <v>108</v>
      </c>
      <c r="AK63" s="14" t="s">
        <v>98</v>
      </c>
    </row>
    <row r="64" spans="3:37" ht="33.6" x14ac:dyDescent="0.4">
      <c r="C64" s="63" t="s">
        <v>40</v>
      </c>
      <c r="D64" s="58" t="s">
        <v>128</v>
      </c>
      <c r="AG64" s="14" t="s">
        <v>96</v>
      </c>
      <c r="AH64" s="14" t="s">
        <v>96</v>
      </c>
      <c r="AI64" s="14" t="s">
        <v>101</v>
      </c>
      <c r="AJ64" s="14" t="s">
        <v>94</v>
      </c>
      <c r="AK64" s="14" t="s">
        <v>98</v>
      </c>
    </row>
    <row r="65" spans="3:37" x14ac:dyDescent="0.4">
      <c r="C65" s="79">
        <f>C57</f>
        <v>0</v>
      </c>
      <c r="D65" s="55" t="str" cm="1">
        <f t="array" ref="D65">IFERROR((INDEX(Table4046[Benthic status], MATCH(1, (F60=AG5:AG1300)*(F57=AH5:AH1300)*(F58=AI5:AI1300)*(F59=AJ5:AJ1300), 0))), "")</f>
        <v/>
      </c>
      <c r="AG65" s="14" t="s">
        <v>96</v>
      </c>
      <c r="AH65" s="14" t="s">
        <v>96</v>
      </c>
      <c r="AI65" s="56" t="s">
        <v>108</v>
      </c>
      <c r="AJ65" s="14" t="s">
        <v>97</v>
      </c>
      <c r="AK65" s="14" t="s">
        <v>98</v>
      </c>
    </row>
    <row r="66" spans="3:37" x14ac:dyDescent="0.4">
      <c r="AG66" s="14" t="s">
        <v>96</v>
      </c>
      <c r="AH66" s="14" t="s">
        <v>96</v>
      </c>
      <c r="AI66" s="56" t="s">
        <v>108</v>
      </c>
      <c r="AJ66" s="14" t="s">
        <v>96</v>
      </c>
      <c r="AK66" s="14" t="s">
        <v>98</v>
      </c>
    </row>
    <row r="67" spans="3:37" x14ac:dyDescent="0.4">
      <c r="AG67" s="14" t="s">
        <v>96</v>
      </c>
      <c r="AH67" s="14" t="s">
        <v>96</v>
      </c>
      <c r="AI67" s="56" t="s">
        <v>108</v>
      </c>
      <c r="AJ67" s="14" t="s">
        <v>104</v>
      </c>
      <c r="AK67" s="14" t="s">
        <v>98</v>
      </c>
    </row>
    <row r="68" spans="3:37" x14ac:dyDescent="0.4">
      <c r="AG68" s="14" t="s">
        <v>96</v>
      </c>
      <c r="AH68" s="14" t="s">
        <v>96</v>
      </c>
      <c r="AI68" s="56" t="s">
        <v>108</v>
      </c>
      <c r="AJ68" s="14" t="s">
        <v>101</v>
      </c>
      <c r="AK68" s="14" t="s">
        <v>98</v>
      </c>
    </row>
    <row r="69" spans="3:37" x14ac:dyDescent="0.4">
      <c r="AG69" s="14" t="s">
        <v>96</v>
      </c>
      <c r="AH69" s="14" t="s">
        <v>96</v>
      </c>
      <c r="AI69" s="56" t="s">
        <v>108</v>
      </c>
      <c r="AJ69" s="56" t="s">
        <v>108</v>
      </c>
      <c r="AK69" s="14" t="s">
        <v>98</v>
      </c>
    </row>
    <row r="70" spans="3:37" x14ac:dyDescent="0.4">
      <c r="AG70" s="14" t="s">
        <v>96</v>
      </c>
      <c r="AH70" s="14" t="s">
        <v>96</v>
      </c>
      <c r="AI70" s="56" t="s">
        <v>108</v>
      </c>
      <c r="AJ70" s="14" t="s">
        <v>94</v>
      </c>
      <c r="AK70" s="14" t="s">
        <v>98</v>
      </c>
    </row>
    <row r="71" spans="3:37" x14ac:dyDescent="0.4">
      <c r="AG71" s="14" t="s">
        <v>96</v>
      </c>
      <c r="AH71" s="14" t="s">
        <v>96</v>
      </c>
      <c r="AI71" s="14" t="s">
        <v>94</v>
      </c>
      <c r="AJ71" s="14" t="s">
        <v>97</v>
      </c>
      <c r="AK71" s="14" t="s">
        <v>98</v>
      </c>
    </row>
    <row r="72" spans="3:37" x14ac:dyDescent="0.4">
      <c r="AG72" s="14" t="s">
        <v>96</v>
      </c>
      <c r="AH72" s="14" t="s">
        <v>96</v>
      </c>
      <c r="AI72" s="14" t="s">
        <v>94</v>
      </c>
      <c r="AJ72" s="14" t="s">
        <v>96</v>
      </c>
      <c r="AK72" s="14" t="s">
        <v>98</v>
      </c>
    </row>
    <row r="73" spans="3:37" x14ac:dyDescent="0.4">
      <c r="AG73" s="14" t="s">
        <v>96</v>
      </c>
      <c r="AH73" s="14" t="s">
        <v>96</v>
      </c>
      <c r="AI73" s="14" t="s">
        <v>94</v>
      </c>
      <c r="AJ73" s="14" t="s">
        <v>104</v>
      </c>
      <c r="AK73" s="14" t="s">
        <v>98</v>
      </c>
    </row>
    <row r="74" spans="3:37" x14ac:dyDescent="0.4">
      <c r="AG74" s="14" t="s">
        <v>96</v>
      </c>
      <c r="AH74" s="14" t="s">
        <v>96</v>
      </c>
      <c r="AI74" s="14" t="s">
        <v>94</v>
      </c>
      <c r="AJ74" s="14" t="s">
        <v>101</v>
      </c>
      <c r="AK74" s="14" t="s">
        <v>98</v>
      </c>
    </row>
    <row r="75" spans="3:37" x14ac:dyDescent="0.4">
      <c r="AG75" s="14" t="s">
        <v>96</v>
      </c>
      <c r="AH75" s="14" t="s">
        <v>96</v>
      </c>
      <c r="AI75" s="14" t="s">
        <v>94</v>
      </c>
      <c r="AJ75" s="56" t="s">
        <v>108</v>
      </c>
      <c r="AK75" s="14" t="s">
        <v>98</v>
      </c>
    </row>
    <row r="76" spans="3:37" x14ac:dyDescent="0.4">
      <c r="AG76" s="14" t="s">
        <v>96</v>
      </c>
      <c r="AH76" s="14" t="s">
        <v>96</v>
      </c>
      <c r="AI76" s="14" t="s">
        <v>94</v>
      </c>
      <c r="AJ76" s="14" t="s">
        <v>94</v>
      </c>
      <c r="AK76" s="14" t="s">
        <v>98</v>
      </c>
    </row>
    <row r="77" spans="3:37" x14ac:dyDescent="0.4">
      <c r="AG77" s="14" t="s">
        <v>96</v>
      </c>
      <c r="AH77" s="14" t="s">
        <v>104</v>
      </c>
      <c r="AI77" s="14" t="s">
        <v>97</v>
      </c>
      <c r="AJ77" s="14" t="s">
        <v>97</v>
      </c>
      <c r="AK77" s="14" t="s">
        <v>98</v>
      </c>
    </row>
    <row r="78" spans="3:37" x14ac:dyDescent="0.4">
      <c r="AG78" s="14" t="s">
        <v>96</v>
      </c>
      <c r="AH78" s="14" t="s">
        <v>104</v>
      </c>
      <c r="AI78" s="14" t="s">
        <v>97</v>
      </c>
      <c r="AJ78" s="14" t="s">
        <v>96</v>
      </c>
      <c r="AK78" s="14" t="s">
        <v>98</v>
      </c>
    </row>
    <row r="79" spans="3:37" x14ac:dyDescent="0.4">
      <c r="AG79" s="14" t="s">
        <v>96</v>
      </c>
      <c r="AH79" s="14" t="s">
        <v>104</v>
      </c>
      <c r="AI79" s="14" t="s">
        <v>97</v>
      </c>
      <c r="AJ79" s="14" t="s">
        <v>104</v>
      </c>
      <c r="AK79" s="14" t="s">
        <v>98</v>
      </c>
    </row>
    <row r="80" spans="3:37" x14ac:dyDescent="0.4">
      <c r="AG80" s="14" t="s">
        <v>96</v>
      </c>
      <c r="AH80" s="14" t="s">
        <v>104</v>
      </c>
      <c r="AI80" s="14" t="s">
        <v>97</v>
      </c>
      <c r="AJ80" s="14" t="s">
        <v>101</v>
      </c>
      <c r="AK80" s="14" t="s">
        <v>98</v>
      </c>
    </row>
    <row r="81" spans="33:37" x14ac:dyDescent="0.4">
      <c r="AG81" s="14" t="s">
        <v>96</v>
      </c>
      <c r="AH81" s="14" t="s">
        <v>104</v>
      </c>
      <c r="AI81" s="14" t="s">
        <v>97</v>
      </c>
      <c r="AJ81" s="56" t="s">
        <v>108</v>
      </c>
      <c r="AK81" s="14" t="s">
        <v>98</v>
      </c>
    </row>
    <row r="82" spans="33:37" x14ac:dyDescent="0.4">
      <c r="AG82" s="14" t="s">
        <v>96</v>
      </c>
      <c r="AH82" s="14" t="s">
        <v>104</v>
      </c>
      <c r="AI82" s="14" t="s">
        <v>97</v>
      </c>
      <c r="AJ82" s="14" t="s">
        <v>94</v>
      </c>
      <c r="AK82" s="14" t="s">
        <v>98</v>
      </c>
    </row>
    <row r="83" spans="33:37" x14ac:dyDescent="0.4">
      <c r="AG83" s="14" t="s">
        <v>96</v>
      </c>
      <c r="AH83" s="14" t="s">
        <v>104</v>
      </c>
      <c r="AI83" s="14" t="s">
        <v>96</v>
      </c>
      <c r="AJ83" s="14" t="s">
        <v>97</v>
      </c>
      <c r="AK83" s="14" t="s">
        <v>98</v>
      </c>
    </row>
    <row r="84" spans="33:37" x14ac:dyDescent="0.4">
      <c r="AG84" s="14" t="s">
        <v>96</v>
      </c>
      <c r="AH84" s="14" t="s">
        <v>104</v>
      </c>
      <c r="AI84" s="14" t="s">
        <v>96</v>
      </c>
      <c r="AJ84" s="14" t="s">
        <v>96</v>
      </c>
      <c r="AK84" s="14" t="s">
        <v>98</v>
      </c>
    </row>
    <row r="85" spans="33:37" x14ac:dyDescent="0.4">
      <c r="AG85" s="14" t="s">
        <v>96</v>
      </c>
      <c r="AH85" s="14" t="s">
        <v>104</v>
      </c>
      <c r="AI85" s="14" t="s">
        <v>96</v>
      </c>
      <c r="AJ85" s="14" t="s">
        <v>104</v>
      </c>
      <c r="AK85" s="14" t="s">
        <v>98</v>
      </c>
    </row>
    <row r="86" spans="33:37" x14ac:dyDescent="0.4">
      <c r="AG86" s="14" t="s">
        <v>96</v>
      </c>
      <c r="AH86" s="14" t="s">
        <v>104</v>
      </c>
      <c r="AI86" s="14" t="s">
        <v>96</v>
      </c>
      <c r="AJ86" s="14" t="s">
        <v>101</v>
      </c>
      <c r="AK86" s="14" t="s">
        <v>98</v>
      </c>
    </row>
    <row r="87" spans="33:37" x14ac:dyDescent="0.4">
      <c r="AG87" s="14" t="s">
        <v>96</v>
      </c>
      <c r="AH87" s="14" t="s">
        <v>104</v>
      </c>
      <c r="AI87" s="14" t="s">
        <v>96</v>
      </c>
      <c r="AJ87" s="56" t="s">
        <v>108</v>
      </c>
      <c r="AK87" s="14" t="s">
        <v>98</v>
      </c>
    </row>
    <row r="88" spans="33:37" x14ac:dyDescent="0.4">
      <c r="AG88" s="14" t="s">
        <v>96</v>
      </c>
      <c r="AH88" s="14" t="s">
        <v>104</v>
      </c>
      <c r="AI88" s="14" t="s">
        <v>96</v>
      </c>
      <c r="AJ88" s="14" t="s">
        <v>94</v>
      </c>
      <c r="AK88" s="14" t="s">
        <v>98</v>
      </c>
    </row>
    <row r="89" spans="33:37" x14ac:dyDescent="0.4">
      <c r="AG89" s="14" t="s">
        <v>96</v>
      </c>
      <c r="AH89" s="14" t="s">
        <v>104</v>
      </c>
      <c r="AI89" s="14" t="s">
        <v>104</v>
      </c>
      <c r="AJ89" s="14" t="s">
        <v>97</v>
      </c>
      <c r="AK89" s="14" t="s">
        <v>98</v>
      </c>
    </row>
    <row r="90" spans="33:37" x14ac:dyDescent="0.4">
      <c r="AG90" s="14" t="s">
        <v>96</v>
      </c>
      <c r="AH90" s="14" t="s">
        <v>104</v>
      </c>
      <c r="AI90" s="14" t="s">
        <v>104</v>
      </c>
      <c r="AJ90" s="14" t="s">
        <v>96</v>
      </c>
      <c r="AK90" s="14" t="s">
        <v>98</v>
      </c>
    </row>
    <row r="91" spans="33:37" x14ac:dyDescent="0.4">
      <c r="AG91" s="14" t="s">
        <v>96</v>
      </c>
      <c r="AH91" s="14" t="s">
        <v>104</v>
      </c>
      <c r="AI91" s="14" t="s">
        <v>104</v>
      </c>
      <c r="AJ91" s="14" t="s">
        <v>104</v>
      </c>
      <c r="AK91" s="14" t="s">
        <v>98</v>
      </c>
    </row>
    <row r="92" spans="33:37" x14ac:dyDescent="0.4">
      <c r="AG92" s="14" t="s">
        <v>96</v>
      </c>
      <c r="AH92" s="14" t="s">
        <v>104</v>
      </c>
      <c r="AI92" s="14" t="s">
        <v>104</v>
      </c>
      <c r="AJ92" s="14" t="s">
        <v>101</v>
      </c>
      <c r="AK92" s="14" t="s">
        <v>98</v>
      </c>
    </row>
    <row r="93" spans="33:37" x14ac:dyDescent="0.4">
      <c r="AG93" s="14" t="s">
        <v>96</v>
      </c>
      <c r="AH93" s="14" t="s">
        <v>104</v>
      </c>
      <c r="AI93" s="14" t="s">
        <v>104</v>
      </c>
      <c r="AJ93" s="56" t="s">
        <v>108</v>
      </c>
      <c r="AK93" s="14" t="s">
        <v>98</v>
      </c>
    </row>
    <row r="94" spans="33:37" x14ac:dyDescent="0.4">
      <c r="AG94" s="14" t="s">
        <v>96</v>
      </c>
      <c r="AH94" s="14" t="s">
        <v>104</v>
      </c>
      <c r="AI94" s="14" t="s">
        <v>104</v>
      </c>
      <c r="AJ94" s="14" t="s">
        <v>94</v>
      </c>
      <c r="AK94" s="14" t="s">
        <v>98</v>
      </c>
    </row>
    <row r="95" spans="33:37" x14ac:dyDescent="0.4">
      <c r="AG95" s="14" t="s">
        <v>96</v>
      </c>
      <c r="AH95" s="14" t="s">
        <v>104</v>
      </c>
      <c r="AI95" s="14" t="s">
        <v>101</v>
      </c>
      <c r="AJ95" s="14" t="s">
        <v>97</v>
      </c>
      <c r="AK95" s="14" t="s">
        <v>98</v>
      </c>
    </row>
    <row r="96" spans="33:37" x14ac:dyDescent="0.4">
      <c r="AG96" s="14" t="s">
        <v>96</v>
      </c>
      <c r="AH96" s="14" t="s">
        <v>104</v>
      </c>
      <c r="AI96" s="14" t="s">
        <v>101</v>
      </c>
      <c r="AJ96" s="14" t="s">
        <v>96</v>
      </c>
      <c r="AK96" s="14" t="s">
        <v>98</v>
      </c>
    </row>
    <row r="97" spans="33:37" x14ac:dyDescent="0.4">
      <c r="AG97" s="14" t="s">
        <v>96</v>
      </c>
      <c r="AH97" s="14" t="s">
        <v>104</v>
      </c>
      <c r="AI97" s="14" t="s">
        <v>101</v>
      </c>
      <c r="AJ97" s="14" t="s">
        <v>104</v>
      </c>
      <c r="AK97" s="14" t="s">
        <v>98</v>
      </c>
    </row>
    <row r="98" spans="33:37" x14ac:dyDescent="0.4">
      <c r="AG98" s="14" t="s">
        <v>96</v>
      </c>
      <c r="AH98" s="14" t="s">
        <v>104</v>
      </c>
      <c r="AI98" s="14" t="s">
        <v>101</v>
      </c>
      <c r="AJ98" s="14" t="s">
        <v>101</v>
      </c>
      <c r="AK98" s="14" t="s">
        <v>98</v>
      </c>
    </row>
    <row r="99" spans="33:37" x14ac:dyDescent="0.4">
      <c r="AG99" s="14" t="s">
        <v>96</v>
      </c>
      <c r="AH99" s="14" t="s">
        <v>104</v>
      </c>
      <c r="AI99" s="14" t="s">
        <v>101</v>
      </c>
      <c r="AJ99" s="56" t="s">
        <v>108</v>
      </c>
      <c r="AK99" s="14" t="s">
        <v>98</v>
      </c>
    </row>
    <row r="100" spans="33:37" x14ac:dyDescent="0.4">
      <c r="AG100" s="14" t="s">
        <v>96</v>
      </c>
      <c r="AH100" s="14" t="s">
        <v>104</v>
      </c>
      <c r="AI100" s="14" t="s">
        <v>101</v>
      </c>
      <c r="AJ100" s="14" t="s">
        <v>94</v>
      </c>
      <c r="AK100" s="14" t="s">
        <v>98</v>
      </c>
    </row>
    <row r="101" spans="33:37" x14ac:dyDescent="0.4">
      <c r="AG101" s="14" t="s">
        <v>96</v>
      </c>
      <c r="AH101" s="14" t="s">
        <v>104</v>
      </c>
      <c r="AI101" s="56" t="s">
        <v>108</v>
      </c>
      <c r="AJ101" s="14" t="s">
        <v>97</v>
      </c>
      <c r="AK101" s="14" t="s">
        <v>98</v>
      </c>
    </row>
    <row r="102" spans="33:37" x14ac:dyDescent="0.4">
      <c r="AG102" s="14" t="s">
        <v>96</v>
      </c>
      <c r="AH102" s="14" t="s">
        <v>104</v>
      </c>
      <c r="AI102" s="56" t="s">
        <v>108</v>
      </c>
      <c r="AJ102" s="14" t="s">
        <v>96</v>
      </c>
      <c r="AK102" s="14" t="s">
        <v>98</v>
      </c>
    </row>
    <row r="103" spans="33:37" x14ac:dyDescent="0.4">
      <c r="AG103" s="14" t="s">
        <v>96</v>
      </c>
      <c r="AH103" s="14" t="s">
        <v>104</v>
      </c>
      <c r="AI103" s="56" t="s">
        <v>108</v>
      </c>
      <c r="AJ103" s="14" t="s">
        <v>104</v>
      </c>
      <c r="AK103" s="14" t="s">
        <v>98</v>
      </c>
    </row>
    <row r="104" spans="33:37" x14ac:dyDescent="0.4">
      <c r="AG104" s="14" t="s">
        <v>96</v>
      </c>
      <c r="AH104" s="14" t="s">
        <v>104</v>
      </c>
      <c r="AI104" s="56" t="s">
        <v>108</v>
      </c>
      <c r="AJ104" s="14" t="s">
        <v>101</v>
      </c>
      <c r="AK104" s="14" t="s">
        <v>98</v>
      </c>
    </row>
    <row r="105" spans="33:37" x14ac:dyDescent="0.4">
      <c r="AG105" s="14" t="s">
        <v>96</v>
      </c>
      <c r="AH105" s="14" t="s">
        <v>104</v>
      </c>
      <c r="AI105" s="56" t="s">
        <v>108</v>
      </c>
      <c r="AJ105" s="56" t="s">
        <v>108</v>
      </c>
      <c r="AK105" s="14" t="s">
        <v>98</v>
      </c>
    </row>
    <row r="106" spans="33:37" x14ac:dyDescent="0.4">
      <c r="AG106" s="14" t="s">
        <v>96</v>
      </c>
      <c r="AH106" s="14" t="s">
        <v>104</v>
      </c>
      <c r="AI106" s="56" t="s">
        <v>108</v>
      </c>
      <c r="AJ106" s="14" t="s">
        <v>94</v>
      </c>
      <c r="AK106" s="14" t="s">
        <v>98</v>
      </c>
    </row>
    <row r="107" spans="33:37" x14ac:dyDescent="0.4">
      <c r="AG107" s="14" t="s">
        <v>96</v>
      </c>
      <c r="AH107" s="14" t="s">
        <v>104</v>
      </c>
      <c r="AI107" s="14" t="s">
        <v>94</v>
      </c>
      <c r="AJ107" s="14" t="s">
        <v>97</v>
      </c>
      <c r="AK107" s="14" t="s">
        <v>98</v>
      </c>
    </row>
    <row r="108" spans="33:37" x14ac:dyDescent="0.4">
      <c r="AG108" s="14" t="s">
        <v>96</v>
      </c>
      <c r="AH108" s="14" t="s">
        <v>104</v>
      </c>
      <c r="AI108" s="14" t="s">
        <v>94</v>
      </c>
      <c r="AJ108" s="14" t="s">
        <v>96</v>
      </c>
      <c r="AK108" s="14" t="s">
        <v>98</v>
      </c>
    </row>
    <row r="109" spans="33:37" x14ac:dyDescent="0.4">
      <c r="AG109" s="14" t="s">
        <v>96</v>
      </c>
      <c r="AH109" s="14" t="s">
        <v>104</v>
      </c>
      <c r="AI109" s="14" t="s">
        <v>94</v>
      </c>
      <c r="AJ109" s="14" t="s">
        <v>104</v>
      </c>
      <c r="AK109" s="14" t="s">
        <v>98</v>
      </c>
    </row>
    <row r="110" spans="33:37" x14ac:dyDescent="0.4">
      <c r="AG110" s="14" t="s">
        <v>96</v>
      </c>
      <c r="AH110" s="14" t="s">
        <v>104</v>
      </c>
      <c r="AI110" s="14" t="s">
        <v>94</v>
      </c>
      <c r="AJ110" s="14" t="s">
        <v>101</v>
      </c>
      <c r="AK110" s="14" t="s">
        <v>98</v>
      </c>
    </row>
    <row r="111" spans="33:37" x14ac:dyDescent="0.4">
      <c r="AG111" s="14" t="s">
        <v>96</v>
      </c>
      <c r="AH111" s="14" t="s">
        <v>104</v>
      </c>
      <c r="AI111" s="14" t="s">
        <v>94</v>
      </c>
      <c r="AJ111" s="56" t="s">
        <v>108</v>
      </c>
      <c r="AK111" s="14" t="s">
        <v>98</v>
      </c>
    </row>
    <row r="112" spans="33:37" x14ac:dyDescent="0.4">
      <c r="AG112" s="14" t="s">
        <v>96</v>
      </c>
      <c r="AH112" s="14" t="s">
        <v>104</v>
      </c>
      <c r="AI112" s="14" t="s">
        <v>94</v>
      </c>
      <c r="AJ112" s="14" t="s">
        <v>94</v>
      </c>
      <c r="AK112" s="14" t="s">
        <v>98</v>
      </c>
    </row>
    <row r="113" spans="33:37" x14ac:dyDescent="0.4">
      <c r="AG113" s="14" t="s">
        <v>96</v>
      </c>
      <c r="AH113" s="14" t="s">
        <v>101</v>
      </c>
      <c r="AI113" s="14" t="s">
        <v>97</v>
      </c>
      <c r="AJ113" s="14" t="s">
        <v>97</v>
      </c>
      <c r="AK113" s="14" t="s">
        <v>98</v>
      </c>
    </row>
    <row r="114" spans="33:37" x14ac:dyDescent="0.4">
      <c r="AG114" s="14" t="s">
        <v>96</v>
      </c>
      <c r="AH114" s="14" t="s">
        <v>101</v>
      </c>
      <c r="AI114" s="14" t="s">
        <v>97</v>
      </c>
      <c r="AJ114" s="14" t="s">
        <v>96</v>
      </c>
      <c r="AK114" s="14" t="s">
        <v>98</v>
      </c>
    </row>
    <row r="115" spans="33:37" x14ac:dyDescent="0.4">
      <c r="AG115" s="14" t="s">
        <v>96</v>
      </c>
      <c r="AH115" s="14" t="s">
        <v>101</v>
      </c>
      <c r="AI115" s="14" t="s">
        <v>97</v>
      </c>
      <c r="AJ115" s="14" t="s">
        <v>104</v>
      </c>
      <c r="AK115" s="14" t="s">
        <v>98</v>
      </c>
    </row>
    <row r="116" spans="33:37" x14ac:dyDescent="0.4">
      <c r="AG116" s="14" t="s">
        <v>96</v>
      </c>
      <c r="AH116" s="14" t="s">
        <v>101</v>
      </c>
      <c r="AI116" s="14" t="s">
        <v>97</v>
      </c>
      <c r="AJ116" s="14" t="s">
        <v>101</v>
      </c>
      <c r="AK116" s="14" t="s">
        <v>98</v>
      </c>
    </row>
    <row r="117" spans="33:37" x14ac:dyDescent="0.4">
      <c r="AG117" s="14" t="s">
        <v>96</v>
      </c>
      <c r="AH117" s="14" t="s">
        <v>101</v>
      </c>
      <c r="AI117" s="14" t="s">
        <v>97</v>
      </c>
      <c r="AJ117" s="56" t="s">
        <v>108</v>
      </c>
      <c r="AK117" s="14" t="s">
        <v>98</v>
      </c>
    </row>
    <row r="118" spans="33:37" x14ac:dyDescent="0.4">
      <c r="AG118" s="14" t="s">
        <v>96</v>
      </c>
      <c r="AH118" s="14" t="s">
        <v>101</v>
      </c>
      <c r="AI118" s="14" t="s">
        <v>97</v>
      </c>
      <c r="AJ118" s="14" t="s">
        <v>94</v>
      </c>
      <c r="AK118" s="14" t="s">
        <v>98</v>
      </c>
    </row>
    <row r="119" spans="33:37" x14ac:dyDescent="0.4">
      <c r="AG119" s="14" t="s">
        <v>96</v>
      </c>
      <c r="AH119" s="14" t="s">
        <v>101</v>
      </c>
      <c r="AI119" s="14" t="s">
        <v>96</v>
      </c>
      <c r="AJ119" s="14" t="s">
        <v>97</v>
      </c>
      <c r="AK119" s="14" t="s">
        <v>98</v>
      </c>
    </row>
    <row r="120" spans="33:37" x14ac:dyDescent="0.4">
      <c r="AG120" s="14" t="s">
        <v>96</v>
      </c>
      <c r="AH120" s="14" t="s">
        <v>101</v>
      </c>
      <c r="AI120" s="14" t="s">
        <v>96</v>
      </c>
      <c r="AJ120" s="14" t="s">
        <v>96</v>
      </c>
      <c r="AK120" s="14" t="s">
        <v>98</v>
      </c>
    </row>
    <row r="121" spans="33:37" x14ac:dyDescent="0.4">
      <c r="AG121" s="14" t="s">
        <v>96</v>
      </c>
      <c r="AH121" s="14" t="s">
        <v>101</v>
      </c>
      <c r="AI121" s="14" t="s">
        <v>96</v>
      </c>
      <c r="AJ121" s="14" t="s">
        <v>104</v>
      </c>
      <c r="AK121" s="14" t="s">
        <v>98</v>
      </c>
    </row>
    <row r="122" spans="33:37" x14ac:dyDescent="0.4">
      <c r="AG122" s="14" t="s">
        <v>96</v>
      </c>
      <c r="AH122" s="14" t="s">
        <v>101</v>
      </c>
      <c r="AI122" s="14" t="s">
        <v>96</v>
      </c>
      <c r="AJ122" s="14" t="s">
        <v>101</v>
      </c>
      <c r="AK122" s="14" t="s">
        <v>98</v>
      </c>
    </row>
    <row r="123" spans="33:37" x14ac:dyDescent="0.4">
      <c r="AG123" s="14" t="s">
        <v>96</v>
      </c>
      <c r="AH123" s="14" t="s">
        <v>101</v>
      </c>
      <c r="AI123" s="14" t="s">
        <v>96</v>
      </c>
      <c r="AJ123" s="56" t="s">
        <v>108</v>
      </c>
      <c r="AK123" s="14" t="s">
        <v>98</v>
      </c>
    </row>
    <row r="124" spans="33:37" x14ac:dyDescent="0.4">
      <c r="AG124" s="14" t="s">
        <v>96</v>
      </c>
      <c r="AH124" s="14" t="s">
        <v>101</v>
      </c>
      <c r="AI124" s="14" t="s">
        <v>96</v>
      </c>
      <c r="AJ124" s="14" t="s">
        <v>94</v>
      </c>
      <c r="AK124" s="14" t="s">
        <v>98</v>
      </c>
    </row>
    <row r="125" spans="33:37" x14ac:dyDescent="0.4">
      <c r="AG125" s="14" t="s">
        <v>96</v>
      </c>
      <c r="AH125" s="14" t="s">
        <v>101</v>
      </c>
      <c r="AI125" s="14" t="s">
        <v>104</v>
      </c>
      <c r="AJ125" s="14" t="s">
        <v>97</v>
      </c>
      <c r="AK125" s="14" t="s">
        <v>98</v>
      </c>
    </row>
    <row r="126" spans="33:37" x14ac:dyDescent="0.4">
      <c r="AG126" s="14" t="s">
        <v>96</v>
      </c>
      <c r="AH126" s="14" t="s">
        <v>101</v>
      </c>
      <c r="AI126" s="14" t="s">
        <v>104</v>
      </c>
      <c r="AJ126" s="14" t="s">
        <v>96</v>
      </c>
      <c r="AK126" s="14" t="s">
        <v>98</v>
      </c>
    </row>
    <row r="127" spans="33:37" x14ac:dyDescent="0.4">
      <c r="AG127" s="14" t="s">
        <v>96</v>
      </c>
      <c r="AH127" s="14" t="s">
        <v>101</v>
      </c>
      <c r="AI127" s="14" t="s">
        <v>104</v>
      </c>
      <c r="AJ127" s="14" t="s">
        <v>104</v>
      </c>
      <c r="AK127" s="14" t="s">
        <v>98</v>
      </c>
    </row>
    <row r="128" spans="33:37" x14ac:dyDescent="0.4">
      <c r="AG128" s="14" t="s">
        <v>96</v>
      </c>
      <c r="AH128" s="14" t="s">
        <v>101</v>
      </c>
      <c r="AI128" s="14" t="s">
        <v>104</v>
      </c>
      <c r="AJ128" s="14" t="s">
        <v>101</v>
      </c>
      <c r="AK128" s="14" t="s">
        <v>98</v>
      </c>
    </row>
    <row r="129" spans="33:37" x14ac:dyDescent="0.4">
      <c r="AG129" s="14" t="s">
        <v>96</v>
      </c>
      <c r="AH129" s="14" t="s">
        <v>101</v>
      </c>
      <c r="AI129" s="14" t="s">
        <v>104</v>
      </c>
      <c r="AJ129" s="56" t="s">
        <v>108</v>
      </c>
      <c r="AK129" s="14" t="s">
        <v>98</v>
      </c>
    </row>
    <row r="130" spans="33:37" x14ac:dyDescent="0.4">
      <c r="AG130" s="14" t="s">
        <v>96</v>
      </c>
      <c r="AH130" s="14" t="s">
        <v>101</v>
      </c>
      <c r="AI130" s="14" t="s">
        <v>104</v>
      </c>
      <c r="AJ130" s="14" t="s">
        <v>94</v>
      </c>
      <c r="AK130" s="14" t="s">
        <v>98</v>
      </c>
    </row>
    <row r="131" spans="33:37" x14ac:dyDescent="0.4">
      <c r="AG131" s="14" t="s">
        <v>96</v>
      </c>
      <c r="AH131" s="14" t="s">
        <v>101</v>
      </c>
      <c r="AI131" s="14" t="s">
        <v>101</v>
      </c>
      <c r="AJ131" s="14" t="s">
        <v>97</v>
      </c>
      <c r="AK131" s="14" t="s">
        <v>98</v>
      </c>
    </row>
    <row r="132" spans="33:37" x14ac:dyDescent="0.4">
      <c r="AG132" s="14" t="s">
        <v>96</v>
      </c>
      <c r="AH132" s="14" t="s">
        <v>101</v>
      </c>
      <c r="AI132" s="14" t="s">
        <v>101</v>
      </c>
      <c r="AJ132" s="14" t="s">
        <v>96</v>
      </c>
      <c r="AK132" s="14" t="s">
        <v>98</v>
      </c>
    </row>
    <row r="133" spans="33:37" x14ac:dyDescent="0.4">
      <c r="AG133" s="14" t="s">
        <v>96</v>
      </c>
      <c r="AH133" s="14" t="s">
        <v>101</v>
      </c>
      <c r="AI133" s="14" t="s">
        <v>101</v>
      </c>
      <c r="AJ133" s="14" t="s">
        <v>104</v>
      </c>
      <c r="AK133" s="14" t="s">
        <v>98</v>
      </c>
    </row>
    <row r="134" spans="33:37" x14ac:dyDescent="0.4">
      <c r="AG134" s="14" t="s">
        <v>96</v>
      </c>
      <c r="AH134" s="14" t="s">
        <v>101</v>
      </c>
      <c r="AI134" s="14" t="s">
        <v>101</v>
      </c>
      <c r="AJ134" s="14" t="s">
        <v>101</v>
      </c>
      <c r="AK134" s="14" t="s">
        <v>98</v>
      </c>
    </row>
    <row r="135" spans="33:37" x14ac:dyDescent="0.4">
      <c r="AG135" s="14" t="s">
        <v>96</v>
      </c>
      <c r="AH135" s="14" t="s">
        <v>101</v>
      </c>
      <c r="AI135" s="14" t="s">
        <v>101</v>
      </c>
      <c r="AJ135" s="56" t="s">
        <v>108</v>
      </c>
      <c r="AK135" s="14" t="s">
        <v>98</v>
      </c>
    </row>
    <row r="136" spans="33:37" x14ac:dyDescent="0.4">
      <c r="AG136" s="14" t="s">
        <v>96</v>
      </c>
      <c r="AH136" s="14" t="s">
        <v>101</v>
      </c>
      <c r="AI136" s="14" t="s">
        <v>101</v>
      </c>
      <c r="AJ136" s="14" t="s">
        <v>94</v>
      </c>
      <c r="AK136" s="14" t="s">
        <v>98</v>
      </c>
    </row>
    <row r="137" spans="33:37" x14ac:dyDescent="0.4">
      <c r="AG137" s="14" t="s">
        <v>96</v>
      </c>
      <c r="AH137" s="14" t="s">
        <v>101</v>
      </c>
      <c r="AI137" s="56" t="s">
        <v>108</v>
      </c>
      <c r="AJ137" s="14" t="s">
        <v>97</v>
      </c>
      <c r="AK137" s="14" t="s">
        <v>98</v>
      </c>
    </row>
    <row r="138" spans="33:37" x14ac:dyDescent="0.4">
      <c r="AG138" s="14" t="s">
        <v>96</v>
      </c>
      <c r="AH138" s="14" t="s">
        <v>101</v>
      </c>
      <c r="AI138" s="56" t="s">
        <v>108</v>
      </c>
      <c r="AJ138" s="14" t="s">
        <v>96</v>
      </c>
      <c r="AK138" s="14" t="s">
        <v>98</v>
      </c>
    </row>
    <row r="139" spans="33:37" x14ac:dyDescent="0.4">
      <c r="AG139" s="14" t="s">
        <v>96</v>
      </c>
      <c r="AH139" s="14" t="s">
        <v>101</v>
      </c>
      <c r="AI139" s="56" t="s">
        <v>108</v>
      </c>
      <c r="AJ139" s="14" t="s">
        <v>104</v>
      </c>
      <c r="AK139" s="14" t="s">
        <v>98</v>
      </c>
    </row>
    <row r="140" spans="33:37" x14ac:dyDescent="0.4">
      <c r="AG140" s="14" t="s">
        <v>96</v>
      </c>
      <c r="AH140" s="14" t="s">
        <v>101</v>
      </c>
      <c r="AI140" s="56" t="s">
        <v>108</v>
      </c>
      <c r="AJ140" s="14" t="s">
        <v>101</v>
      </c>
      <c r="AK140" s="14" t="s">
        <v>98</v>
      </c>
    </row>
    <row r="141" spans="33:37" x14ac:dyDescent="0.4">
      <c r="AG141" s="14" t="s">
        <v>96</v>
      </c>
      <c r="AH141" s="14" t="s">
        <v>101</v>
      </c>
      <c r="AI141" s="56" t="s">
        <v>108</v>
      </c>
      <c r="AJ141" s="56" t="s">
        <v>108</v>
      </c>
      <c r="AK141" s="14" t="s">
        <v>98</v>
      </c>
    </row>
    <row r="142" spans="33:37" x14ac:dyDescent="0.4">
      <c r="AG142" s="14" t="s">
        <v>96</v>
      </c>
      <c r="AH142" s="14" t="s">
        <v>101</v>
      </c>
      <c r="AI142" s="56" t="s">
        <v>108</v>
      </c>
      <c r="AJ142" s="14" t="s">
        <v>94</v>
      </c>
      <c r="AK142" s="14" t="s">
        <v>98</v>
      </c>
    </row>
    <row r="143" spans="33:37" x14ac:dyDescent="0.4">
      <c r="AG143" s="14" t="s">
        <v>96</v>
      </c>
      <c r="AH143" s="14" t="s">
        <v>101</v>
      </c>
      <c r="AI143" s="14" t="s">
        <v>94</v>
      </c>
      <c r="AJ143" s="14" t="s">
        <v>97</v>
      </c>
      <c r="AK143" s="14" t="s">
        <v>98</v>
      </c>
    </row>
    <row r="144" spans="33:37" x14ac:dyDescent="0.4">
      <c r="AG144" s="14" t="s">
        <v>96</v>
      </c>
      <c r="AH144" s="14" t="s">
        <v>101</v>
      </c>
      <c r="AI144" s="14" t="s">
        <v>94</v>
      </c>
      <c r="AJ144" s="14" t="s">
        <v>96</v>
      </c>
      <c r="AK144" s="14" t="s">
        <v>98</v>
      </c>
    </row>
    <row r="145" spans="33:37" x14ac:dyDescent="0.4">
      <c r="AG145" s="14" t="s">
        <v>96</v>
      </c>
      <c r="AH145" s="14" t="s">
        <v>101</v>
      </c>
      <c r="AI145" s="14" t="s">
        <v>94</v>
      </c>
      <c r="AJ145" s="14" t="s">
        <v>104</v>
      </c>
      <c r="AK145" s="14" t="s">
        <v>98</v>
      </c>
    </row>
    <row r="146" spans="33:37" x14ac:dyDescent="0.4">
      <c r="AG146" s="14" t="s">
        <v>96</v>
      </c>
      <c r="AH146" s="14" t="s">
        <v>101</v>
      </c>
      <c r="AI146" s="14" t="s">
        <v>94</v>
      </c>
      <c r="AJ146" s="14" t="s">
        <v>101</v>
      </c>
      <c r="AK146" s="14" t="s">
        <v>98</v>
      </c>
    </row>
    <row r="147" spans="33:37" x14ac:dyDescent="0.4">
      <c r="AG147" s="14" t="s">
        <v>96</v>
      </c>
      <c r="AH147" s="14" t="s">
        <v>101</v>
      </c>
      <c r="AI147" s="14" t="s">
        <v>94</v>
      </c>
      <c r="AJ147" s="56" t="s">
        <v>108</v>
      </c>
      <c r="AK147" s="14" t="s">
        <v>98</v>
      </c>
    </row>
    <row r="148" spans="33:37" x14ac:dyDescent="0.4">
      <c r="AG148" s="14" t="s">
        <v>96</v>
      </c>
      <c r="AH148" s="14" t="s">
        <v>101</v>
      </c>
      <c r="AI148" s="14" t="s">
        <v>94</v>
      </c>
      <c r="AJ148" s="14" t="s">
        <v>94</v>
      </c>
      <c r="AK148" s="14" t="s">
        <v>98</v>
      </c>
    </row>
    <row r="149" spans="33:37" x14ac:dyDescent="0.4">
      <c r="AG149" s="14" t="s">
        <v>96</v>
      </c>
      <c r="AH149" s="56" t="s">
        <v>108</v>
      </c>
      <c r="AI149" s="14" t="s">
        <v>97</v>
      </c>
      <c r="AJ149" s="14" t="s">
        <v>97</v>
      </c>
      <c r="AK149" s="14" t="s">
        <v>98</v>
      </c>
    </row>
    <row r="150" spans="33:37" x14ac:dyDescent="0.4">
      <c r="AG150" s="14" t="s">
        <v>96</v>
      </c>
      <c r="AH150" s="56" t="s">
        <v>108</v>
      </c>
      <c r="AI150" s="14" t="s">
        <v>97</v>
      </c>
      <c r="AJ150" s="14" t="s">
        <v>96</v>
      </c>
      <c r="AK150" s="14" t="s">
        <v>98</v>
      </c>
    </row>
    <row r="151" spans="33:37" x14ac:dyDescent="0.4">
      <c r="AG151" s="14" t="s">
        <v>96</v>
      </c>
      <c r="AH151" s="56" t="s">
        <v>108</v>
      </c>
      <c r="AI151" s="14" t="s">
        <v>97</v>
      </c>
      <c r="AJ151" s="14" t="s">
        <v>104</v>
      </c>
      <c r="AK151" s="14" t="s">
        <v>98</v>
      </c>
    </row>
    <row r="152" spans="33:37" x14ac:dyDescent="0.4">
      <c r="AG152" s="14" t="s">
        <v>96</v>
      </c>
      <c r="AH152" s="56" t="s">
        <v>108</v>
      </c>
      <c r="AI152" s="14" t="s">
        <v>97</v>
      </c>
      <c r="AJ152" s="14" t="s">
        <v>101</v>
      </c>
      <c r="AK152" s="14" t="s">
        <v>98</v>
      </c>
    </row>
    <row r="153" spans="33:37" x14ac:dyDescent="0.4">
      <c r="AG153" s="14" t="s">
        <v>96</v>
      </c>
      <c r="AH153" s="56" t="s">
        <v>108</v>
      </c>
      <c r="AI153" s="14" t="s">
        <v>97</v>
      </c>
      <c r="AJ153" s="56" t="s">
        <v>108</v>
      </c>
      <c r="AK153" s="14" t="s">
        <v>98</v>
      </c>
    </row>
    <row r="154" spans="33:37" x14ac:dyDescent="0.4">
      <c r="AG154" s="14" t="s">
        <v>96</v>
      </c>
      <c r="AH154" s="56" t="s">
        <v>108</v>
      </c>
      <c r="AI154" s="14" t="s">
        <v>97</v>
      </c>
      <c r="AJ154" s="14" t="s">
        <v>94</v>
      </c>
      <c r="AK154" s="14" t="s">
        <v>98</v>
      </c>
    </row>
    <row r="155" spans="33:37" x14ac:dyDescent="0.4">
      <c r="AG155" s="14" t="s">
        <v>96</v>
      </c>
      <c r="AH155" s="56" t="s">
        <v>108</v>
      </c>
      <c r="AI155" s="14" t="s">
        <v>96</v>
      </c>
      <c r="AJ155" s="14" t="s">
        <v>97</v>
      </c>
      <c r="AK155" s="14" t="s">
        <v>98</v>
      </c>
    </row>
    <row r="156" spans="33:37" x14ac:dyDescent="0.4">
      <c r="AG156" s="14" t="s">
        <v>96</v>
      </c>
      <c r="AH156" s="56" t="s">
        <v>108</v>
      </c>
      <c r="AI156" s="14" t="s">
        <v>96</v>
      </c>
      <c r="AJ156" s="14" t="s">
        <v>96</v>
      </c>
      <c r="AK156" s="14" t="s">
        <v>98</v>
      </c>
    </row>
    <row r="157" spans="33:37" x14ac:dyDescent="0.4">
      <c r="AG157" s="14" t="s">
        <v>96</v>
      </c>
      <c r="AH157" s="56" t="s">
        <v>108</v>
      </c>
      <c r="AI157" s="14" t="s">
        <v>96</v>
      </c>
      <c r="AJ157" s="14" t="s">
        <v>104</v>
      </c>
      <c r="AK157" s="14" t="s">
        <v>98</v>
      </c>
    </row>
    <row r="158" spans="33:37" x14ac:dyDescent="0.4">
      <c r="AG158" s="14" t="s">
        <v>96</v>
      </c>
      <c r="AH158" s="56" t="s">
        <v>108</v>
      </c>
      <c r="AI158" s="14" t="s">
        <v>96</v>
      </c>
      <c r="AJ158" s="14" t="s">
        <v>101</v>
      </c>
      <c r="AK158" s="14" t="s">
        <v>98</v>
      </c>
    </row>
    <row r="159" spans="33:37" x14ac:dyDescent="0.4">
      <c r="AG159" s="14" t="s">
        <v>96</v>
      </c>
      <c r="AH159" s="56" t="s">
        <v>108</v>
      </c>
      <c r="AI159" s="14" t="s">
        <v>96</v>
      </c>
      <c r="AJ159" s="56" t="s">
        <v>108</v>
      </c>
      <c r="AK159" s="14" t="s">
        <v>98</v>
      </c>
    </row>
    <row r="160" spans="33:37" x14ac:dyDescent="0.4">
      <c r="AG160" s="14" t="s">
        <v>96</v>
      </c>
      <c r="AH160" s="56" t="s">
        <v>108</v>
      </c>
      <c r="AI160" s="14" t="s">
        <v>96</v>
      </c>
      <c r="AJ160" s="14" t="s">
        <v>94</v>
      </c>
      <c r="AK160" s="14" t="s">
        <v>98</v>
      </c>
    </row>
    <row r="161" spans="33:37" x14ac:dyDescent="0.4">
      <c r="AG161" s="14" t="s">
        <v>96</v>
      </c>
      <c r="AH161" s="56" t="s">
        <v>108</v>
      </c>
      <c r="AI161" s="14" t="s">
        <v>104</v>
      </c>
      <c r="AJ161" s="14" t="s">
        <v>97</v>
      </c>
      <c r="AK161" s="14" t="s">
        <v>98</v>
      </c>
    </row>
    <row r="162" spans="33:37" x14ac:dyDescent="0.4">
      <c r="AG162" s="14" t="s">
        <v>96</v>
      </c>
      <c r="AH162" s="56" t="s">
        <v>108</v>
      </c>
      <c r="AI162" s="14" t="s">
        <v>104</v>
      </c>
      <c r="AJ162" s="14" t="s">
        <v>96</v>
      </c>
      <c r="AK162" s="14" t="s">
        <v>98</v>
      </c>
    </row>
    <row r="163" spans="33:37" x14ac:dyDescent="0.4">
      <c r="AG163" s="14" t="s">
        <v>96</v>
      </c>
      <c r="AH163" s="56" t="s">
        <v>108</v>
      </c>
      <c r="AI163" s="14" t="s">
        <v>104</v>
      </c>
      <c r="AJ163" s="14" t="s">
        <v>104</v>
      </c>
      <c r="AK163" s="14" t="s">
        <v>98</v>
      </c>
    </row>
    <row r="164" spans="33:37" x14ac:dyDescent="0.4">
      <c r="AG164" s="14" t="s">
        <v>96</v>
      </c>
      <c r="AH164" s="56" t="s">
        <v>108</v>
      </c>
      <c r="AI164" s="14" t="s">
        <v>104</v>
      </c>
      <c r="AJ164" s="14" t="s">
        <v>101</v>
      </c>
      <c r="AK164" s="14" t="s">
        <v>98</v>
      </c>
    </row>
    <row r="165" spans="33:37" x14ac:dyDescent="0.4">
      <c r="AG165" s="14" t="s">
        <v>96</v>
      </c>
      <c r="AH165" s="56" t="s">
        <v>108</v>
      </c>
      <c r="AI165" s="14" t="s">
        <v>104</v>
      </c>
      <c r="AJ165" s="56" t="s">
        <v>108</v>
      </c>
      <c r="AK165" s="14" t="s">
        <v>98</v>
      </c>
    </row>
    <row r="166" spans="33:37" x14ac:dyDescent="0.4">
      <c r="AG166" s="14" t="s">
        <v>96</v>
      </c>
      <c r="AH166" s="56" t="s">
        <v>108</v>
      </c>
      <c r="AI166" s="14" t="s">
        <v>104</v>
      </c>
      <c r="AJ166" s="14" t="s">
        <v>94</v>
      </c>
      <c r="AK166" s="14" t="s">
        <v>98</v>
      </c>
    </row>
    <row r="167" spans="33:37" x14ac:dyDescent="0.4">
      <c r="AG167" s="14" t="s">
        <v>96</v>
      </c>
      <c r="AH167" s="56" t="s">
        <v>108</v>
      </c>
      <c r="AI167" s="14" t="s">
        <v>101</v>
      </c>
      <c r="AJ167" s="14" t="s">
        <v>97</v>
      </c>
      <c r="AK167" s="14" t="s">
        <v>98</v>
      </c>
    </row>
    <row r="168" spans="33:37" x14ac:dyDescent="0.4">
      <c r="AG168" s="14" t="s">
        <v>96</v>
      </c>
      <c r="AH168" s="56" t="s">
        <v>108</v>
      </c>
      <c r="AI168" s="14" t="s">
        <v>101</v>
      </c>
      <c r="AJ168" s="14" t="s">
        <v>96</v>
      </c>
      <c r="AK168" s="14" t="s">
        <v>98</v>
      </c>
    </row>
    <row r="169" spans="33:37" x14ac:dyDescent="0.4">
      <c r="AG169" s="14" t="s">
        <v>96</v>
      </c>
      <c r="AH169" s="56" t="s">
        <v>108</v>
      </c>
      <c r="AI169" s="14" t="s">
        <v>101</v>
      </c>
      <c r="AJ169" s="14" t="s">
        <v>104</v>
      </c>
      <c r="AK169" s="14" t="s">
        <v>98</v>
      </c>
    </row>
    <row r="170" spans="33:37" x14ac:dyDescent="0.4">
      <c r="AG170" s="14" t="s">
        <v>96</v>
      </c>
      <c r="AH170" s="56" t="s">
        <v>108</v>
      </c>
      <c r="AI170" s="14" t="s">
        <v>101</v>
      </c>
      <c r="AJ170" s="14" t="s">
        <v>101</v>
      </c>
      <c r="AK170" s="14" t="s">
        <v>98</v>
      </c>
    </row>
    <row r="171" spans="33:37" x14ac:dyDescent="0.4">
      <c r="AG171" s="14" t="s">
        <v>96</v>
      </c>
      <c r="AH171" s="56" t="s">
        <v>108</v>
      </c>
      <c r="AI171" s="14" t="s">
        <v>101</v>
      </c>
      <c r="AJ171" s="56" t="s">
        <v>108</v>
      </c>
      <c r="AK171" s="14" t="s">
        <v>98</v>
      </c>
    </row>
    <row r="172" spans="33:37" x14ac:dyDescent="0.4">
      <c r="AG172" s="14" t="s">
        <v>96</v>
      </c>
      <c r="AH172" s="56" t="s">
        <v>108</v>
      </c>
      <c r="AI172" s="14" t="s">
        <v>101</v>
      </c>
      <c r="AJ172" s="14" t="s">
        <v>94</v>
      </c>
      <c r="AK172" s="14" t="s">
        <v>98</v>
      </c>
    </row>
    <row r="173" spans="33:37" x14ac:dyDescent="0.4">
      <c r="AG173" s="14" t="s">
        <v>96</v>
      </c>
      <c r="AH173" s="56" t="s">
        <v>108</v>
      </c>
      <c r="AI173" s="56" t="s">
        <v>108</v>
      </c>
      <c r="AJ173" s="14" t="s">
        <v>97</v>
      </c>
      <c r="AK173" s="14" t="s">
        <v>98</v>
      </c>
    </row>
    <row r="174" spans="33:37" x14ac:dyDescent="0.4">
      <c r="AG174" s="14" t="s">
        <v>96</v>
      </c>
      <c r="AH174" s="56" t="s">
        <v>108</v>
      </c>
      <c r="AI174" s="56" t="s">
        <v>108</v>
      </c>
      <c r="AJ174" s="14" t="s">
        <v>96</v>
      </c>
      <c r="AK174" s="14" t="s">
        <v>98</v>
      </c>
    </row>
    <row r="175" spans="33:37" x14ac:dyDescent="0.4">
      <c r="AG175" s="14" t="s">
        <v>96</v>
      </c>
      <c r="AH175" s="56" t="s">
        <v>108</v>
      </c>
      <c r="AI175" s="56" t="s">
        <v>108</v>
      </c>
      <c r="AJ175" s="14" t="s">
        <v>104</v>
      </c>
      <c r="AK175" s="14" t="s">
        <v>98</v>
      </c>
    </row>
    <row r="176" spans="33:37" x14ac:dyDescent="0.4">
      <c r="AG176" s="14" t="s">
        <v>96</v>
      </c>
      <c r="AH176" s="56" t="s">
        <v>108</v>
      </c>
      <c r="AI176" s="56" t="s">
        <v>108</v>
      </c>
      <c r="AJ176" s="14" t="s">
        <v>101</v>
      </c>
      <c r="AK176" s="14" t="s">
        <v>98</v>
      </c>
    </row>
    <row r="177" spans="33:37" x14ac:dyDescent="0.4">
      <c r="AG177" s="14" t="s">
        <v>96</v>
      </c>
      <c r="AH177" s="56" t="s">
        <v>108</v>
      </c>
      <c r="AI177" s="56" t="s">
        <v>108</v>
      </c>
      <c r="AJ177" s="56" t="s">
        <v>108</v>
      </c>
      <c r="AK177" s="14" t="s">
        <v>98</v>
      </c>
    </row>
    <row r="178" spans="33:37" x14ac:dyDescent="0.4">
      <c r="AG178" s="14" t="s">
        <v>96</v>
      </c>
      <c r="AH178" s="56" t="s">
        <v>108</v>
      </c>
      <c r="AI178" s="56" t="s">
        <v>108</v>
      </c>
      <c r="AJ178" s="14" t="s">
        <v>94</v>
      </c>
      <c r="AK178" s="14" t="s">
        <v>98</v>
      </c>
    </row>
    <row r="179" spans="33:37" x14ac:dyDescent="0.4">
      <c r="AG179" s="14" t="s">
        <v>96</v>
      </c>
      <c r="AH179" s="56" t="s">
        <v>108</v>
      </c>
      <c r="AI179" s="14" t="s">
        <v>94</v>
      </c>
      <c r="AJ179" s="14" t="s">
        <v>97</v>
      </c>
      <c r="AK179" s="14" t="s">
        <v>98</v>
      </c>
    </row>
    <row r="180" spans="33:37" x14ac:dyDescent="0.4">
      <c r="AG180" s="14" t="s">
        <v>96</v>
      </c>
      <c r="AH180" s="56" t="s">
        <v>108</v>
      </c>
      <c r="AI180" s="14" t="s">
        <v>94</v>
      </c>
      <c r="AJ180" s="14" t="s">
        <v>96</v>
      </c>
      <c r="AK180" s="14" t="s">
        <v>98</v>
      </c>
    </row>
    <row r="181" spans="33:37" x14ac:dyDescent="0.4">
      <c r="AG181" s="14" t="s">
        <v>96</v>
      </c>
      <c r="AH181" s="56" t="s">
        <v>108</v>
      </c>
      <c r="AI181" s="14" t="s">
        <v>94</v>
      </c>
      <c r="AJ181" s="14" t="s">
        <v>104</v>
      </c>
      <c r="AK181" s="14" t="s">
        <v>98</v>
      </c>
    </row>
    <row r="182" spans="33:37" x14ac:dyDescent="0.4">
      <c r="AG182" s="14" t="s">
        <v>96</v>
      </c>
      <c r="AH182" s="56" t="s">
        <v>108</v>
      </c>
      <c r="AI182" s="14" t="s">
        <v>94</v>
      </c>
      <c r="AJ182" s="14" t="s">
        <v>101</v>
      </c>
      <c r="AK182" s="14" t="s">
        <v>98</v>
      </c>
    </row>
    <row r="183" spans="33:37" x14ac:dyDescent="0.4">
      <c r="AG183" s="14" t="s">
        <v>96</v>
      </c>
      <c r="AH183" s="56" t="s">
        <v>108</v>
      </c>
      <c r="AI183" s="14" t="s">
        <v>94</v>
      </c>
      <c r="AJ183" s="56" t="s">
        <v>108</v>
      </c>
      <c r="AK183" s="14" t="s">
        <v>98</v>
      </c>
    </row>
    <row r="184" spans="33:37" x14ac:dyDescent="0.4">
      <c r="AG184" s="14" t="s">
        <v>96</v>
      </c>
      <c r="AH184" s="56" t="s">
        <v>108</v>
      </c>
      <c r="AI184" s="14" t="s">
        <v>94</v>
      </c>
      <c r="AJ184" s="14" t="s">
        <v>94</v>
      </c>
      <c r="AK184" s="14" t="s">
        <v>98</v>
      </c>
    </row>
    <row r="185" spans="33:37" x14ac:dyDescent="0.4">
      <c r="AG185" s="14" t="s">
        <v>96</v>
      </c>
      <c r="AH185" s="14" t="s">
        <v>94</v>
      </c>
      <c r="AI185" s="14" t="s">
        <v>97</v>
      </c>
      <c r="AJ185" s="14" t="s">
        <v>97</v>
      </c>
      <c r="AK185" s="14" t="s">
        <v>98</v>
      </c>
    </row>
    <row r="186" spans="33:37" x14ac:dyDescent="0.4">
      <c r="AG186" s="14" t="s">
        <v>96</v>
      </c>
      <c r="AH186" s="14" t="s">
        <v>94</v>
      </c>
      <c r="AI186" s="14" t="s">
        <v>97</v>
      </c>
      <c r="AJ186" s="14" t="s">
        <v>96</v>
      </c>
      <c r="AK186" s="14" t="s">
        <v>98</v>
      </c>
    </row>
    <row r="187" spans="33:37" x14ac:dyDescent="0.4">
      <c r="AG187" s="14" t="s">
        <v>96</v>
      </c>
      <c r="AH187" s="14" t="s">
        <v>94</v>
      </c>
      <c r="AI187" s="14" t="s">
        <v>97</v>
      </c>
      <c r="AJ187" s="14" t="s">
        <v>104</v>
      </c>
      <c r="AK187" s="14" t="s">
        <v>98</v>
      </c>
    </row>
    <row r="188" spans="33:37" x14ac:dyDescent="0.4">
      <c r="AG188" s="14" t="s">
        <v>96</v>
      </c>
      <c r="AH188" s="14" t="s">
        <v>94</v>
      </c>
      <c r="AI188" s="14" t="s">
        <v>97</v>
      </c>
      <c r="AJ188" s="14" t="s">
        <v>101</v>
      </c>
      <c r="AK188" s="14" t="s">
        <v>98</v>
      </c>
    </row>
    <row r="189" spans="33:37" x14ac:dyDescent="0.4">
      <c r="AG189" s="14" t="s">
        <v>96</v>
      </c>
      <c r="AH189" s="14" t="s">
        <v>94</v>
      </c>
      <c r="AI189" s="14" t="s">
        <v>97</v>
      </c>
      <c r="AJ189" s="56" t="s">
        <v>108</v>
      </c>
      <c r="AK189" s="14" t="s">
        <v>98</v>
      </c>
    </row>
    <row r="190" spans="33:37" x14ac:dyDescent="0.4">
      <c r="AG190" s="14" t="s">
        <v>96</v>
      </c>
      <c r="AH190" s="14" t="s">
        <v>94</v>
      </c>
      <c r="AI190" s="14" t="s">
        <v>97</v>
      </c>
      <c r="AJ190" s="14" t="s">
        <v>94</v>
      </c>
      <c r="AK190" s="14" t="s">
        <v>98</v>
      </c>
    </row>
    <row r="191" spans="33:37" x14ac:dyDescent="0.4">
      <c r="AG191" s="14" t="s">
        <v>96</v>
      </c>
      <c r="AH191" s="14" t="s">
        <v>94</v>
      </c>
      <c r="AI191" s="14" t="s">
        <v>96</v>
      </c>
      <c r="AJ191" s="14" t="s">
        <v>97</v>
      </c>
      <c r="AK191" s="14" t="s">
        <v>98</v>
      </c>
    </row>
    <row r="192" spans="33:37" x14ac:dyDescent="0.4">
      <c r="AG192" s="14" t="s">
        <v>96</v>
      </c>
      <c r="AH192" s="14" t="s">
        <v>94</v>
      </c>
      <c r="AI192" s="14" t="s">
        <v>96</v>
      </c>
      <c r="AJ192" s="14" t="s">
        <v>96</v>
      </c>
      <c r="AK192" s="14" t="s">
        <v>98</v>
      </c>
    </row>
    <row r="193" spans="33:37" x14ac:dyDescent="0.4">
      <c r="AG193" s="14" t="s">
        <v>96</v>
      </c>
      <c r="AH193" s="14" t="s">
        <v>94</v>
      </c>
      <c r="AI193" s="14" t="s">
        <v>96</v>
      </c>
      <c r="AJ193" s="14" t="s">
        <v>104</v>
      </c>
      <c r="AK193" s="14" t="s">
        <v>98</v>
      </c>
    </row>
    <row r="194" spans="33:37" x14ac:dyDescent="0.4">
      <c r="AG194" s="14" t="s">
        <v>96</v>
      </c>
      <c r="AH194" s="14" t="s">
        <v>94</v>
      </c>
      <c r="AI194" s="14" t="s">
        <v>96</v>
      </c>
      <c r="AJ194" s="14" t="s">
        <v>101</v>
      </c>
      <c r="AK194" s="14" t="s">
        <v>98</v>
      </c>
    </row>
    <row r="195" spans="33:37" x14ac:dyDescent="0.4">
      <c r="AG195" s="14" t="s">
        <v>96</v>
      </c>
      <c r="AH195" s="14" t="s">
        <v>94</v>
      </c>
      <c r="AI195" s="14" t="s">
        <v>96</v>
      </c>
      <c r="AJ195" s="56" t="s">
        <v>108</v>
      </c>
      <c r="AK195" s="14" t="s">
        <v>98</v>
      </c>
    </row>
    <row r="196" spans="33:37" x14ac:dyDescent="0.4">
      <c r="AG196" s="14" t="s">
        <v>96</v>
      </c>
      <c r="AH196" s="14" t="s">
        <v>94</v>
      </c>
      <c r="AI196" s="14" t="s">
        <v>96</v>
      </c>
      <c r="AJ196" s="14" t="s">
        <v>94</v>
      </c>
      <c r="AK196" s="14" t="s">
        <v>98</v>
      </c>
    </row>
    <row r="197" spans="33:37" x14ac:dyDescent="0.4">
      <c r="AG197" s="14" t="s">
        <v>96</v>
      </c>
      <c r="AH197" s="14" t="s">
        <v>94</v>
      </c>
      <c r="AI197" s="14" t="s">
        <v>104</v>
      </c>
      <c r="AJ197" s="14" t="s">
        <v>97</v>
      </c>
      <c r="AK197" s="14" t="s">
        <v>98</v>
      </c>
    </row>
    <row r="198" spans="33:37" x14ac:dyDescent="0.4">
      <c r="AG198" s="14" t="s">
        <v>96</v>
      </c>
      <c r="AH198" s="14" t="s">
        <v>94</v>
      </c>
      <c r="AI198" s="14" t="s">
        <v>104</v>
      </c>
      <c r="AJ198" s="14" t="s">
        <v>96</v>
      </c>
      <c r="AK198" s="14" t="s">
        <v>98</v>
      </c>
    </row>
    <row r="199" spans="33:37" x14ac:dyDescent="0.4">
      <c r="AG199" s="14" t="s">
        <v>96</v>
      </c>
      <c r="AH199" s="14" t="s">
        <v>94</v>
      </c>
      <c r="AI199" s="14" t="s">
        <v>104</v>
      </c>
      <c r="AJ199" s="14" t="s">
        <v>104</v>
      </c>
      <c r="AK199" s="14" t="s">
        <v>98</v>
      </c>
    </row>
    <row r="200" spans="33:37" x14ac:dyDescent="0.4">
      <c r="AG200" s="14" t="s">
        <v>96</v>
      </c>
      <c r="AH200" s="14" t="s">
        <v>94</v>
      </c>
      <c r="AI200" s="14" t="s">
        <v>104</v>
      </c>
      <c r="AJ200" s="14" t="s">
        <v>101</v>
      </c>
      <c r="AK200" s="14" t="s">
        <v>98</v>
      </c>
    </row>
    <row r="201" spans="33:37" x14ac:dyDescent="0.4">
      <c r="AG201" s="14" t="s">
        <v>96</v>
      </c>
      <c r="AH201" s="14" t="s">
        <v>94</v>
      </c>
      <c r="AI201" s="14" t="s">
        <v>104</v>
      </c>
      <c r="AJ201" s="56" t="s">
        <v>108</v>
      </c>
      <c r="AK201" s="14" t="s">
        <v>98</v>
      </c>
    </row>
    <row r="202" spans="33:37" x14ac:dyDescent="0.4">
      <c r="AG202" s="14" t="s">
        <v>96</v>
      </c>
      <c r="AH202" s="14" t="s">
        <v>94</v>
      </c>
      <c r="AI202" s="14" t="s">
        <v>104</v>
      </c>
      <c r="AJ202" s="14" t="s">
        <v>94</v>
      </c>
      <c r="AK202" s="14" t="s">
        <v>98</v>
      </c>
    </row>
    <row r="203" spans="33:37" x14ac:dyDescent="0.4">
      <c r="AG203" s="14" t="s">
        <v>96</v>
      </c>
      <c r="AH203" s="14" t="s">
        <v>94</v>
      </c>
      <c r="AI203" s="14" t="s">
        <v>101</v>
      </c>
      <c r="AJ203" s="14" t="s">
        <v>97</v>
      </c>
      <c r="AK203" s="14" t="s">
        <v>98</v>
      </c>
    </row>
    <row r="204" spans="33:37" x14ac:dyDescent="0.4">
      <c r="AG204" s="14" t="s">
        <v>96</v>
      </c>
      <c r="AH204" s="14" t="s">
        <v>94</v>
      </c>
      <c r="AI204" s="14" t="s">
        <v>101</v>
      </c>
      <c r="AJ204" s="14" t="s">
        <v>96</v>
      </c>
      <c r="AK204" s="14" t="s">
        <v>98</v>
      </c>
    </row>
    <row r="205" spans="33:37" x14ac:dyDescent="0.4">
      <c r="AG205" s="14" t="s">
        <v>96</v>
      </c>
      <c r="AH205" s="14" t="s">
        <v>94</v>
      </c>
      <c r="AI205" s="14" t="s">
        <v>101</v>
      </c>
      <c r="AJ205" s="14" t="s">
        <v>104</v>
      </c>
      <c r="AK205" s="14" t="s">
        <v>98</v>
      </c>
    </row>
    <row r="206" spans="33:37" x14ac:dyDescent="0.4">
      <c r="AG206" s="14" t="s">
        <v>96</v>
      </c>
      <c r="AH206" s="14" t="s">
        <v>94</v>
      </c>
      <c r="AI206" s="14" t="s">
        <v>101</v>
      </c>
      <c r="AJ206" s="14" t="s">
        <v>101</v>
      </c>
      <c r="AK206" s="14" t="s">
        <v>98</v>
      </c>
    </row>
    <row r="207" spans="33:37" x14ac:dyDescent="0.4">
      <c r="AG207" s="14" t="s">
        <v>96</v>
      </c>
      <c r="AH207" s="14" t="s">
        <v>94</v>
      </c>
      <c r="AI207" s="14" t="s">
        <v>101</v>
      </c>
      <c r="AJ207" s="56" t="s">
        <v>108</v>
      </c>
      <c r="AK207" s="14" t="s">
        <v>98</v>
      </c>
    </row>
    <row r="208" spans="33:37" x14ac:dyDescent="0.4">
      <c r="AG208" s="14" t="s">
        <v>96</v>
      </c>
      <c r="AH208" s="14" t="s">
        <v>94</v>
      </c>
      <c r="AI208" s="14" t="s">
        <v>101</v>
      </c>
      <c r="AJ208" s="14" t="s">
        <v>94</v>
      </c>
      <c r="AK208" s="14" t="s">
        <v>98</v>
      </c>
    </row>
    <row r="209" spans="33:37" x14ac:dyDescent="0.4">
      <c r="AG209" s="14" t="s">
        <v>96</v>
      </c>
      <c r="AH209" s="14" t="s">
        <v>94</v>
      </c>
      <c r="AI209" s="56" t="s">
        <v>108</v>
      </c>
      <c r="AJ209" s="14" t="s">
        <v>97</v>
      </c>
      <c r="AK209" s="14" t="s">
        <v>98</v>
      </c>
    </row>
    <row r="210" spans="33:37" x14ac:dyDescent="0.4">
      <c r="AG210" s="14" t="s">
        <v>96</v>
      </c>
      <c r="AH210" s="14" t="s">
        <v>94</v>
      </c>
      <c r="AI210" s="56" t="s">
        <v>108</v>
      </c>
      <c r="AJ210" s="14" t="s">
        <v>96</v>
      </c>
      <c r="AK210" s="14" t="s">
        <v>98</v>
      </c>
    </row>
    <row r="211" spans="33:37" x14ac:dyDescent="0.4">
      <c r="AG211" s="14" t="s">
        <v>96</v>
      </c>
      <c r="AH211" s="14" t="s">
        <v>94</v>
      </c>
      <c r="AI211" s="56" t="s">
        <v>108</v>
      </c>
      <c r="AJ211" s="14" t="s">
        <v>104</v>
      </c>
      <c r="AK211" s="14" t="s">
        <v>98</v>
      </c>
    </row>
    <row r="212" spans="33:37" x14ac:dyDescent="0.4">
      <c r="AG212" s="14" t="s">
        <v>96</v>
      </c>
      <c r="AH212" s="14" t="s">
        <v>94</v>
      </c>
      <c r="AI212" s="56" t="s">
        <v>108</v>
      </c>
      <c r="AJ212" s="14" t="s">
        <v>101</v>
      </c>
      <c r="AK212" s="14" t="s">
        <v>98</v>
      </c>
    </row>
    <row r="213" spans="33:37" x14ac:dyDescent="0.4">
      <c r="AG213" s="14" t="s">
        <v>96</v>
      </c>
      <c r="AH213" s="14" t="s">
        <v>94</v>
      </c>
      <c r="AI213" s="56" t="s">
        <v>108</v>
      </c>
      <c r="AJ213" s="56" t="s">
        <v>108</v>
      </c>
      <c r="AK213" s="14" t="s">
        <v>98</v>
      </c>
    </row>
    <row r="214" spans="33:37" x14ac:dyDescent="0.4">
      <c r="AG214" s="14" t="s">
        <v>96</v>
      </c>
      <c r="AH214" s="14" t="s">
        <v>94</v>
      </c>
      <c r="AI214" s="56" t="s">
        <v>108</v>
      </c>
      <c r="AJ214" s="14" t="s">
        <v>94</v>
      </c>
      <c r="AK214" s="14" t="s">
        <v>98</v>
      </c>
    </row>
    <row r="215" spans="33:37" x14ac:dyDescent="0.4">
      <c r="AG215" s="14" t="s">
        <v>96</v>
      </c>
      <c r="AH215" s="14" t="s">
        <v>94</v>
      </c>
      <c r="AI215" s="14" t="s">
        <v>94</v>
      </c>
      <c r="AJ215" s="14" t="s">
        <v>97</v>
      </c>
      <c r="AK215" s="14" t="s">
        <v>98</v>
      </c>
    </row>
    <row r="216" spans="33:37" x14ac:dyDescent="0.4">
      <c r="AG216" s="14" t="s">
        <v>96</v>
      </c>
      <c r="AH216" s="14" t="s">
        <v>94</v>
      </c>
      <c r="AI216" s="14" t="s">
        <v>94</v>
      </c>
      <c r="AJ216" s="14" t="s">
        <v>96</v>
      </c>
      <c r="AK216" s="14" t="s">
        <v>98</v>
      </c>
    </row>
    <row r="217" spans="33:37" x14ac:dyDescent="0.4">
      <c r="AG217" s="14" t="s">
        <v>96</v>
      </c>
      <c r="AH217" s="14" t="s">
        <v>94</v>
      </c>
      <c r="AI217" s="14" t="s">
        <v>94</v>
      </c>
      <c r="AJ217" s="14" t="s">
        <v>104</v>
      </c>
      <c r="AK217" s="14" t="s">
        <v>98</v>
      </c>
    </row>
    <row r="218" spans="33:37" x14ac:dyDescent="0.4">
      <c r="AG218" s="14" t="s">
        <v>96</v>
      </c>
      <c r="AH218" s="14" t="s">
        <v>94</v>
      </c>
      <c r="AI218" s="14" t="s">
        <v>94</v>
      </c>
      <c r="AJ218" s="14" t="s">
        <v>101</v>
      </c>
      <c r="AK218" s="14" t="s">
        <v>98</v>
      </c>
    </row>
    <row r="219" spans="33:37" x14ac:dyDescent="0.4">
      <c r="AG219" s="14" t="s">
        <v>96</v>
      </c>
      <c r="AH219" s="14" t="s">
        <v>94</v>
      </c>
      <c r="AI219" s="14" t="s">
        <v>94</v>
      </c>
      <c r="AJ219" s="56" t="s">
        <v>108</v>
      </c>
      <c r="AK219" s="14" t="s">
        <v>98</v>
      </c>
    </row>
    <row r="220" spans="33:37" x14ac:dyDescent="0.4">
      <c r="AG220" s="14" t="s">
        <v>96</v>
      </c>
      <c r="AH220" s="14" t="s">
        <v>94</v>
      </c>
      <c r="AI220" s="14" t="s">
        <v>94</v>
      </c>
      <c r="AJ220" s="14" t="s">
        <v>94</v>
      </c>
      <c r="AK220" s="14" t="s">
        <v>98</v>
      </c>
    </row>
    <row r="221" spans="33:37" x14ac:dyDescent="0.4">
      <c r="AG221" s="69" t="s">
        <v>97</v>
      </c>
      <c r="AH221" s="69" t="s">
        <v>97</v>
      </c>
      <c r="AI221" s="69" t="s">
        <v>97</v>
      </c>
      <c r="AJ221" s="69" t="s">
        <v>97</v>
      </c>
      <c r="AK221" s="14" t="s">
        <v>98</v>
      </c>
    </row>
    <row r="222" spans="33:37" x14ac:dyDescent="0.4">
      <c r="AG222" s="69" t="s">
        <v>97</v>
      </c>
      <c r="AH222" s="69" t="s">
        <v>97</v>
      </c>
      <c r="AI222" s="69" t="s">
        <v>97</v>
      </c>
      <c r="AJ222" s="69" t="s">
        <v>96</v>
      </c>
      <c r="AK222" s="14" t="s">
        <v>98</v>
      </c>
    </row>
    <row r="223" spans="33:37" x14ac:dyDescent="0.4">
      <c r="AG223" s="69" t="s">
        <v>97</v>
      </c>
      <c r="AH223" s="69" t="s">
        <v>97</v>
      </c>
      <c r="AI223" s="69" t="s">
        <v>97</v>
      </c>
      <c r="AJ223" s="69" t="s">
        <v>104</v>
      </c>
      <c r="AK223" s="14" t="s">
        <v>98</v>
      </c>
    </row>
    <row r="224" spans="33:37" x14ac:dyDescent="0.4">
      <c r="AG224" s="69" t="s">
        <v>97</v>
      </c>
      <c r="AH224" s="69" t="s">
        <v>97</v>
      </c>
      <c r="AI224" s="69" t="s">
        <v>97</v>
      </c>
      <c r="AJ224" s="69" t="s">
        <v>101</v>
      </c>
      <c r="AK224" s="14" t="s">
        <v>98</v>
      </c>
    </row>
    <row r="225" spans="33:37" x14ac:dyDescent="0.4">
      <c r="AG225" s="69" t="s">
        <v>97</v>
      </c>
      <c r="AH225" s="69" t="s">
        <v>97</v>
      </c>
      <c r="AI225" s="69" t="s">
        <v>97</v>
      </c>
      <c r="AJ225" s="70" t="s">
        <v>108</v>
      </c>
      <c r="AK225" s="14" t="s">
        <v>98</v>
      </c>
    </row>
    <row r="226" spans="33:37" x14ac:dyDescent="0.4">
      <c r="AG226" s="69" t="s">
        <v>97</v>
      </c>
      <c r="AH226" s="69" t="s">
        <v>97</v>
      </c>
      <c r="AI226" s="69" t="s">
        <v>97</v>
      </c>
      <c r="AJ226" s="69" t="s">
        <v>94</v>
      </c>
      <c r="AK226" s="14" t="s">
        <v>98</v>
      </c>
    </row>
    <row r="227" spans="33:37" x14ac:dyDescent="0.4">
      <c r="AG227" s="69" t="s">
        <v>97</v>
      </c>
      <c r="AH227" s="69" t="s">
        <v>97</v>
      </c>
      <c r="AI227" s="69" t="s">
        <v>96</v>
      </c>
      <c r="AJ227" s="69" t="s">
        <v>97</v>
      </c>
      <c r="AK227" s="14" t="s">
        <v>98</v>
      </c>
    </row>
    <row r="228" spans="33:37" x14ac:dyDescent="0.4">
      <c r="AG228" s="69" t="s">
        <v>97</v>
      </c>
      <c r="AH228" s="69" t="s">
        <v>97</v>
      </c>
      <c r="AI228" s="69" t="s">
        <v>96</v>
      </c>
      <c r="AJ228" s="69" t="s">
        <v>96</v>
      </c>
      <c r="AK228" s="14" t="s">
        <v>98</v>
      </c>
    </row>
    <row r="229" spans="33:37" x14ac:dyDescent="0.4">
      <c r="AG229" s="69" t="s">
        <v>97</v>
      </c>
      <c r="AH229" s="69" t="s">
        <v>97</v>
      </c>
      <c r="AI229" s="69" t="s">
        <v>96</v>
      </c>
      <c r="AJ229" s="69" t="s">
        <v>104</v>
      </c>
      <c r="AK229" s="14" t="s">
        <v>98</v>
      </c>
    </row>
    <row r="230" spans="33:37" x14ac:dyDescent="0.4">
      <c r="AG230" s="69" t="s">
        <v>97</v>
      </c>
      <c r="AH230" s="69" t="s">
        <v>97</v>
      </c>
      <c r="AI230" s="69" t="s">
        <v>96</v>
      </c>
      <c r="AJ230" s="69" t="s">
        <v>101</v>
      </c>
      <c r="AK230" s="14" t="s">
        <v>98</v>
      </c>
    </row>
    <row r="231" spans="33:37" x14ac:dyDescent="0.4">
      <c r="AG231" s="69" t="s">
        <v>97</v>
      </c>
      <c r="AH231" s="69" t="s">
        <v>97</v>
      </c>
      <c r="AI231" s="69" t="s">
        <v>96</v>
      </c>
      <c r="AJ231" s="70" t="s">
        <v>108</v>
      </c>
      <c r="AK231" s="14" t="s">
        <v>98</v>
      </c>
    </row>
    <row r="232" spans="33:37" x14ac:dyDescent="0.4">
      <c r="AG232" s="69" t="s">
        <v>97</v>
      </c>
      <c r="AH232" s="69" t="s">
        <v>97</v>
      </c>
      <c r="AI232" s="69" t="s">
        <v>96</v>
      </c>
      <c r="AJ232" s="69" t="s">
        <v>94</v>
      </c>
      <c r="AK232" s="14" t="s">
        <v>98</v>
      </c>
    </row>
    <row r="233" spans="33:37" x14ac:dyDescent="0.4">
      <c r="AG233" s="69" t="s">
        <v>97</v>
      </c>
      <c r="AH233" s="69" t="s">
        <v>97</v>
      </c>
      <c r="AI233" s="69" t="s">
        <v>104</v>
      </c>
      <c r="AJ233" s="69" t="s">
        <v>97</v>
      </c>
      <c r="AK233" s="14" t="s">
        <v>98</v>
      </c>
    </row>
    <row r="234" spans="33:37" x14ac:dyDescent="0.4">
      <c r="AG234" s="69" t="s">
        <v>97</v>
      </c>
      <c r="AH234" s="69" t="s">
        <v>97</v>
      </c>
      <c r="AI234" s="69" t="s">
        <v>104</v>
      </c>
      <c r="AJ234" s="69" t="s">
        <v>96</v>
      </c>
      <c r="AK234" s="14" t="s">
        <v>98</v>
      </c>
    </row>
    <row r="235" spans="33:37" x14ac:dyDescent="0.4">
      <c r="AG235" s="69" t="s">
        <v>97</v>
      </c>
      <c r="AH235" s="69" t="s">
        <v>97</v>
      </c>
      <c r="AI235" s="69" t="s">
        <v>104</v>
      </c>
      <c r="AJ235" s="69" t="s">
        <v>104</v>
      </c>
      <c r="AK235" s="14" t="s">
        <v>98</v>
      </c>
    </row>
    <row r="236" spans="33:37" x14ac:dyDescent="0.4">
      <c r="AG236" s="69" t="s">
        <v>97</v>
      </c>
      <c r="AH236" s="69" t="s">
        <v>97</v>
      </c>
      <c r="AI236" s="69" t="s">
        <v>104</v>
      </c>
      <c r="AJ236" s="69" t="s">
        <v>101</v>
      </c>
      <c r="AK236" s="14" t="s">
        <v>98</v>
      </c>
    </row>
    <row r="237" spans="33:37" x14ac:dyDescent="0.4">
      <c r="AG237" s="69" t="s">
        <v>97</v>
      </c>
      <c r="AH237" s="69" t="s">
        <v>97</v>
      </c>
      <c r="AI237" s="69" t="s">
        <v>104</v>
      </c>
      <c r="AJ237" s="70" t="s">
        <v>108</v>
      </c>
      <c r="AK237" s="14" t="s">
        <v>98</v>
      </c>
    </row>
    <row r="238" spans="33:37" x14ac:dyDescent="0.4">
      <c r="AG238" s="69" t="s">
        <v>97</v>
      </c>
      <c r="AH238" s="69" t="s">
        <v>97</v>
      </c>
      <c r="AI238" s="69" t="s">
        <v>104</v>
      </c>
      <c r="AJ238" s="69" t="s">
        <v>94</v>
      </c>
      <c r="AK238" s="14" t="s">
        <v>98</v>
      </c>
    </row>
    <row r="239" spans="33:37" x14ac:dyDescent="0.4">
      <c r="AG239" s="69" t="s">
        <v>97</v>
      </c>
      <c r="AH239" s="69" t="s">
        <v>97</v>
      </c>
      <c r="AI239" s="69" t="s">
        <v>101</v>
      </c>
      <c r="AJ239" s="69" t="s">
        <v>97</v>
      </c>
      <c r="AK239" s="14" t="s">
        <v>98</v>
      </c>
    </row>
    <row r="240" spans="33:37" x14ac:dyDescent="0.4">
      <c r="AG240" s="69" t="s">
        <v>97</v>
      </c>
      <c r="AH240" s="69" t="s">
        <v>97</v>
      </c>
      <c r="AI240" s="69" t="s">
        <v>101</v>
      </c>
      <c r="AJ240" s="69" t="s">
        <v>96</v>
      </c>
      <c r="AK240" s="14" t="s">
        <v>98</v>
      </c>
    </row>
    <row r="241" spans="33:37" x14ac:dyDescent="0.4">
      <c r="AG241" s="69" t="s">
        <v>97</v>
      </c>
      <c r="AH241" s="69" t="s">
        <v>97</v>
      </c>
      <c r="AI241" s="69" t="s">
        <v>101</v>
      </c>
      <c r="AJ241" s="69" t="s">
        <v>104</v>
      </c>
      <c r="AK241" s="14" t="s">
        <v>98</v>
      </c>
    </row>
    <row r="242" spans="33:37" x14ac:dyDescent="0.4">
      <c r="AG242" s="69" t="s">
        <v>97</v>
      </c>
      <c r="AH242" s="69" t="s">
        <v>97</v>
      </c>
      <c r="AI242" s="69" t="s">
        <v>101</v>
      </c>
      <c r="AJ242" s="69" t="s">
        <v>101</v>
      </c>
      <c r="AK242" s="14" t="s">
        <v>98</v>
      </c>
    </row>
    <row r="243" spans="33:37" x14ac:dyDescent="0.4">
      <c r="AG243" s="69" t="s">
        <v>97</v>
      </c>
      <c r="AH243" s="69" t="s">
        <v>97</v>
      </c>
      <c r="AI243" s="69" t="s">
        <v>101</v>
      </c>
      <c r="AJ243" s="70" t="s">
        <v>108</v>
      </c>
      <c r="AK243" s="14" t="s">
        <v>98</v>
      </c>
    </row>
    <row r="244" spans="33:37" x14ac:dyDescent="0.4">
      <c r="AG244" s="69" t="s">
        <v>97</v>
      </c>
      <c r="AH244" s="69" t="s">
        <v>97</v>
      </c>
      <c r="AI244" s="69" t="s">
        <v>101</v>
      </c>
      <c r="AJ244" s="69" t="s">
        <v>94</v>
      </c>
      <c r="AK244" s="14" t="s">
        <v>98</v>
      </c>
    </row>
    <row r="245" spans="33:37" x14ac:dyDescent="0.4">
      <c r="AG245" s="69" t="s">
        <v>97</v>
      </c>
      <c r="AH245" s="69" t="s">
        <v>97</v>
      </c>
      <c r="AI245" s="70" t="s">
        <v>108</v>
      </c>
      <c r="AJ245" s="69" t="s">
        <v>97</v>
      </c>
      <c r="AK245" s="14" t="s">
        <v>98</v>
      </c>
    </row>
    <row r="246" spans="33:37" x14ac:dyDescent="0.4">
      <c r="AG246" s="69" t="s">
        <v>97</v>
      </c>
      <c r="AH246" s="69" t="s">
        <v>97</v>
      </c>
      <c r="AI246" s="70" t="s">
        <v>108</v>
      </c>
      <c r="AJ246" s="69" t="s">
        <v>96</v>
      </c>
      <c r="AK246" s="14" t="s">
        <v>98</v>
      </c>
    </row>
    <row r="247" spans="33:37" x14ac:dyDescent="0.4">
      <c r="AG247" s="69" t="s">
        <v>97</v>
      </c>
      <c r="AH247" s="69" t="s">
        <v>97</v>
      </c>
      <c r="AI247" s="70" t="s">
        <v>108</v>
      </c>
      <c r="AJ247" s="69" t="s">
        <v>104</v>
      </c>
      <c r="AK247" s="14" t="s">
        <v>98</v>
      </c>
    </row>
    <row r="248" spans="33:37" x14ac:dyDescent="0.4">
      <c r="AG248" s="69" t="s">
        <v>97</v>
      </c>
      <c r="AH248" s="69" t="s">
        <v>97</v>
      </c>
      <c r="AI248" s="70" t="s">
        <v>108</v>
      </c>
      <c r="AJ248" s="69" t="s">
        <v>101</v>
      </c>
      <c r="AK248" s="14" t="s">
        <v>98</v>
      </c>
    </row>
    <row r="249" spans="33:37" x14ac:dyDescent="0.4">
      <c r="AG249" s="69" t="s">
        <v>97</v>
      </c>
      <c r="AH249" s="69" t="s">
        <v>97</v>
      </c>
      <c r="AI249" s="70" t="s">
        <v>108</v>
      </c>
      <c r="AJ249" s="70" t="s">
        <v>108</v>
      </c>
      <c r="AK249" s="14" t="s">
        <v>98</v>
      </c>
    </row>
    <row r="250" spans="33:37" x14ac:dyDescent="0.4">
      <c r="AG250" s="69" t="s">
        <v>97</v>
      </c>
      <c r="AH250" s="69" t="s">
        <v>97</v>
      </c>
      <c r="AI250" s="70" t="s">
        <v>108</v>
      </c>
      <c r="AJ250" s="69" t="s">
        <v>94</v>
      </c>
      <c r="AK250" s="14" t="s">
        <v>98</v>
      </c>
    </row>
    <row r="251" spans="33:37" x14ac:dyDescent="0.4">
      <c r="AG251" s="69" t="s">
        <v>97</v>
      </c>
      <c r="AH251" s="69" t="s">
        <v>97</v>
      </c>
      <c r="AI251" s="69" t="s">
        <v>94</v>
      </c>
      <c r="AJ251" s="69" t="s">
        <v>97</v>
      </c>
      <c r="AK251" s="14" t="s">
        <v>98</v>
      </c>
    </row>
    <row r="252" spans="33:37" x14ac:dyDescent="0.4">
      <c r="AG252" s="69" t="s">
        <v>97</v>
      </c>
      <c r="AH252" s="69" t="s">
        <v>97</v>
      </c>
      <c r="AI252" s="69" t="s">
        <v>94</v>
      </c>
      <c r="AJ252" s="69" t="s">
        <v>96</v>
      </c>
      <c r="AK252" s="14" t="s">
        <v>98</v>
      </c>
    </row>
    <row r="253" spans="33:37" x14ac:dyDescent="0.4">
      <c r="AG253" s="69" t="s">
        <v>97</v>
      </c>
      <c r="AH253" s="69" t="s">
        <v>97</v>
      </c>
      <c r="AI253" s="69" t="s">
        <v>94</v>
      </c>
      <c r="AJ253" s="69" t="s">
        <v>104</v>
      </c>
      <c r="AK253" s="14" t="s">
        <v>98</v>
      </c>
    </row>
    <row r="254" spans="33:37" x14ac:dyDescent="0.4">
      <c r="AG254" s="69" t="s">
        <v>97</v>
      </c>
      <c r="AH254" s="69" t="s">
        <v>97</v>
      </c>
      <c r="AI254" s="69" t="s">
        <v>94</v>
      </c>
      <c r="AJ254" s="69" t="s">
        <v>101</v>
      </c>
      <c r="AK254" s="14" t="s">
        <v>98</v>
      </c>
    </row>
    <row r="255" spans="33:37" x14ac:dyDescent="0.4">
      <c r="AG255" s="69" t="s">
        <v>97</v>
      </c>
      <c r="AH255" s="69" t="s">
        <v>97</v>
      </c>
      <c r="AI255" s="69" t="s">
        <v>94</v>
      </c>
      <c r="AJ255" s="70" t="s">
        <v>108</v>
      </c>
      <c r="AK255" s="14" t="s">
        <v>98</v>
      </c>
    </row>
    <row r="256" spans="33:37" x14ac:dyDescent="0.4">
      <c r="AG256" s="69" t="s">
        <v>97</v>
      </c>
      <c r="AH256" s="69" t="s">
        <v>97</v>
      </c>
      <c r="AI256" s="69" t="s">
        <v>94</v>
      </c>
      <c r="AJ256" s="69" t="s">
        <v>94</v>
      </c>
      <c r="AK256" s="14" t="s">
        <v>98</v>
      </c>
    </row>
    <row r="257" spans="33:37" x14ac:dyDescent="0.4">
      <c r="AG257" s="69" t="s">
        <v>97</v>
      </c>
      <c r="AH257" s="69" t="s">
        <v>96</v>
      </c>
      <c r="AI257" s="69" t="s">
        <v>97</v>
      </c>
      <c r="AJ257" s="69" t="s">
        <v>97</v>
      </c>
      <c r="AK257" s="14" t="s">
        <v>98</v>
      </c>
    </row>
    <row r="258" spans="33:37" x14ac:dyDescent="0.4">
      <c r="AG258" s="69" t="s">
        <v>97</v>
      </c>
      <c r="AH258" s="69" t="s">
        <v>96</v>
      </c>
      <c r="AI258" s="69" t="s">
        <v>97</v>
      </c>
      <c r="AJ258" s="69" t="s">
        <v>96</v>
      </c>
      <c r="AK258" s="14" t="s">
        <v>98</v>
      </c>
    </row>
    <row r="259" spans="33:37" x14ac:dyDescent="0.4">
      <c r="AG259" s="69" t="s">
        <v>97</v>
      </c>
      <c r="AH259" s="69" t="s">
        <v>96</v>
      </c>
      <c r="AI259" s="69" t="s">
        <v>97</v>
      </c>
      <c r="AJ259" s="69" t="s">
        <v>104</v>
      </c>
      <c r="AK259" s="14" t="s">
        <v>98</v>
      </c>
    </row>
    <row r="260" spans="33:37" x14ac:dyDescent="0.4">
      <c r="AG260" s="69" t="s">
        <v>97</v>
      </c>
      <c r="AH260" s="69" t="s">
        <v>96</v>
      </c>
      <c r="AI260" s="69" t="s">
        <v>97</v>
      </c>
      <c r="AJ260" s="69" t="s">
        <v>101</v>
      </c>
      <c r="AK260" s="14" t="s">
        <v>98</v>
      </c>
    </row>
    <row r="261" spans="33:37" x14ac:dyDescent="0.4">
      <c r="AG261" s="69" t="s">
        <v>97</v>
      </c>
      <c r="AH261" s="69" t="s">
        <v>96</v>
      </c>
      <c r="AI261" s="69" t="s">
        <v>97</v>
      </c>
      <c r="AJ261" s="70" t="s">
        <v>108</v>
      </c>
      <c r="AK261" s="14" t="s">
        <v>98</v>
      </c>
    </row>
    <row r="262" spans="33:37" x14ac:dyDescent="0.4">
      <c r="AG262" s="69" t="s">
        <v>97</v>
      </c>
      <c r="AH262" s="69" t="s">
        <v>96</v>
      </c>
      <c r="AI262" s="69" t="s">
        <v>97</v>
      </c>
      <c r="AJ262" s="69" t="s">
        <v>94</v>
      </c>
      <c r="AK262" s="14" t="s">
        <v>98</v>
      </c>
    </row>
    <row r="263" spans="33:37" x14ac:dyDescent="0.4">
      <c r="AG263" s="69" t="s">
        <v>97</v>
      </c>
      <c r="AH263" s="69" t="s">
        <v>96</v>
      </c>
      <c r="AI263" s="69" t="s">
        <v>96</v>
      </c>
      <c r="AJ263" s="69" t="s">
        <v>97</v>
      </c>
      <c r="AK263" s="14" t="s">
        <v>98</v>
      </c>
    </row>
    <row r="264" spans="33:37" x14ac:dyDescent="0.4">
      <c r="AG264" s="69" t="s">
        <v>97</v>
      </c>
      <c r="AH264" s="69" t="s">
        <v>96</v>
      </c>
      <c r="AI264" s="69" t="s">
        <v>96</v>
      </c>
      <c r="AJ264" s="69" t="s">
        <v>96</v>
      </c>
      <c r="AK264" s="14" t="s">
        <v>98</v>
      </c>
    </row>
    <row r="265" spans="33:37" x14ac:dyDescent="0.4">
      <c r="AG265" s="69" t="s">
        <v>97</v>
      </c>
      <c r="AH265" s="69" t="s">
        <v>96</v>
      </c>
      <c r="AI265" s="69" t="s">
        <v>96</v>
      </c>
      <c r="AJ265" s="69" t="s">
        <v>104</v>
      </c>
      <c r="AK265" s="14" t="s">
        <v>98</v>
      </c>
    </row>
    <row r="266" spans="33:37" x14ac:dyDescent="0.4">
      <c r="AG266" s="69" t="s">
        <v>97</v>
      </c>
      <c r="AH266" s="69" t="s">
        <v>96</v>
      </c>
      <c r="AI266" s="69" t="s">
        <v>96</v>
      </c>
      <c r="AJ266" s="69" t="s">
        <v>101</v>
      </c>
      <c r="AK266" s="14" t="s">
        <v>98</v>
      </c>
    </row>
    <row r="267" spans="33:37" x14ac:dyDescent="0.4">
      <c r="AG267" s="69" t="s">
        <v>97</v>
      </c>
      <c r="AH267" s="69" t="s">
        <v>96</v>
      </c>
      <c r="AI267" s="69" t="s">
        <v>96</v>
      </c>
      <c r="AJ267" s="70" t="s">
        <v>108</v>
      </c>
      <c r="AK267" s="14" t="s">
        <v>98</v>
      </c>
    </row>
    <row r="268" spans="33:37" x14ac:dyDescent="0.4">
      <c r="AG268" s="69" t="s">
        <v>97</v>
      </c>
      <c r="AH268" s="69" t="s">
        <v>96</v>
      </c>
      <c r="AI268" s="69" t="s">
        <v>96</v>
      </c>
      <c r="AJ268" s="69" t="s">
        <v>94</v>
      </c>
      <c r="AK268" s="14" t="s">
        <v>98</v>
      </c>
    </row>
    <row r="269" spans="33:37" x14ac:dyDescent="0.4">
      <c r="AG269" s="69" t="s">
        <v>97</v>
      </c>
      <c r="AH269" s="69" t="s">
        <v>96</v>
      </c>
      <c r="AI269" s="69" t="s">
        <v>104</v>
      </c>
      <c r="AJ269" s="69" t="s">
        <v>97</v>
      </c>
      <c r="AK269" s="14" t="s">
        <v>98</v>
      </c>
    </row>
    <row r="270" spans="33:37" x14ac:dyDescent="0.4">
      <c r="AG270" s="69" t="s">
        <v>97</v>
      </c>
      <c r="AH270" s="69" t="s">
        <v>96</v>
      </c>
      <c r="AI270" s="69" t="s">
        <v>104</v>
      </c>
      <c r="AJ270" s="69" t="s">
        <v>96</v>
      </c>
      <c r="AK270" s="14" t="s">
        <v>98</v>
      </c>
    </row>
    <row r="271" spans="33:37" x14ac:dyDescent="0.4">
      <c r="AG271" s="69" t="s">
        <v>97</v>
      </c>
      <c r="AH271" s="69" t="s">
        <v>96</v>
      </c>
      <c r="AI271" s="69" t="s">
        <v>104</v>
      </c>
      <c r="AJ271" s="69" t="s">
        <v>104</v>
      </c>
      <c r="AK271" s="14" t="s">
        <v>98</v>
      </c>
    </row>
    <row r="272" spans="33:37" x14ac:dyDescent="0.4">
      <c r="AG272" s="69" t="s">
        <v>97</v>
      </c>
      <c r="AH272" s="69" t="s">
        <v>96</v>
      </c>
      <c r="AI272" s="69" t="s">
        <v>104</v>
      </c>
      <c r="AJ272" s="69" t="s">
        <v>101</v>
      </c>
      <c r="AK272" s="14" t="s">
        <v>98</v>
      </c>
    </row>
    <row r="273" spans="33:37" x14ac:dyDescent="0.4">
      <c r="AG273" s="69" t="s">
        <v>97</v>
      </c>
      <c r="AH273" s="69" t="s">
        <v>96</v>
      </c>
      <c r="AI273" s="69" t="s">
        <v>104</v>
      </c>
      <c r="AJ273" s="70" t="s">
        <v>108</v>
      </c>
      <c r="AK273" s="14" t="s">
        <v>98</v>
      </c>
    </row>
    <row r="274" spans="33:37" x14ac:dyDescent="0.4">
      <c r="AG274" s="69" t="s">
        <v>97</v>
      </c>
      <c r="AH274" s="69" t="s">
        <v>96</v>
      </c>
      <c r="AI274" s="69" t="s">
        <v>104</v>
      </c>
      <c r="AJ274" s="69" t="s">
        <v>94</v>
      </c>
      <c r="AK274" s="14" t="s">
        <v>98</v>
      </c>
    </row>
    <row r="275" spans="33:37" x14ac:dyDescent="0.4">
      <c r="AG275" s="69" t="s">
        <v>97</v>
      </c>
      <c r="AH275" s="69" t="s">
        <v>96</v>
      </c>
      <c r="AI275" s="69" t="s">
        <v>101</v>
      </c>
      <c r="AJ275" s="69" t="s">
        <v>97</v>
      </c>
      <c r="AK275" s="14" t="s">
        <v>98</v>
      </c>
    </row>
    <row r="276" spans="33:37" x14ac:dyDescent="0.4">
      <c r="AG276" s="69" t="s">
        <v>97</v>
      </c>
      <c r="AH276" s="69" t="s">
        <v>96</v>
      </c>
      <c r="AI276" s="69" t="s">
        <v>101</v>
      </c>
      <c r="AJ276" s="69" t="s">
        <v>96</v>
      </c>
      <c r="AK276" s="14" t="s">
        <v>98</v>
      </c>
    </row>
    <row r="277" spans="33:37" x14ac:dyDescent="0.4">
      <c r="AG277" s="69" t="s">
        <v>97</v>
      </c>
      <c r="AH277" s="69" t="s">
        <v>96</v>
      </c>
      <c r="AI277" s="69" t="s">
        <v>101</v>
      </c>
      <c r="AJ277" s="69" t="s">
        <v>104</v>
      </c>
      <c r="AK277" s="14" t="s">
        <v>98</v>
      </c>
    </row>
    <row r="278" spans="33:37" x14ac:dyDescent="0.4">
      <c r="AG278" s="69" t="s">
        <v>97</v>
      </c>
      <c r="AH278" s="69" t="s">
        <v>96</v>
      </c>
      <c r="AI278" s="69" t="s">
        <v>101</v>
      </c>
      <c r="AJ278" s="69" t="s">
        <v>101</v>
      </c>
      <c r="AK278" s="14" t="s">
        <v>98</v>
      </c>
    </row>
    <row r="279" spans="33:37" x14ac:dyDescent="0.4">
      <c r="AG279" s="69" t="s">
        <v>97</v>
      </c>
      <c r="AH279" s="69" t="s">
        <v>96</v>
      </c>
      <c r="AI279" s="69" t="s">
        <v>101</v>
      </c>
      <c r="AJ279" s="70" t="s">
        <v>108</v>
      </c>
      <c r="AK279" s="14" t="s">
        <v>98</v>
      </c>
    </row>
    <row r="280" spans="33:37" x14ac:dyDescent="0.4">
      <c r="AG280" s="69" t="s">
        <v>97</v>
      </c>
      <c r="AH280" s="69" t="s">
        <v>96</v>
      </c>
      <c r="AI280" s="69" t="s">
        <v>101</v>
      </c>
      <c r="AJ280" s="69" t="s">
        <v>94</v>
      </c>
      <c r="AK280" s="14" t="s">
        <v>98</v>
      </c>
    </row>
    <row r="281" spans="33:37" x14ac:dyDescent="0.4">
      <c r="AG281" s="69" t="s">
        <v>97</v>
      </c>
      <c r="AH281" s="69" t="s">
        <v>96</v>
      </c>
      <c r="AI281" s="70" t="s">
        <v>108</v>
      </c>
      <c r="AJ281" s="69" t="s">
        <v>97</v>
      </c>
      <c r="AK281" s="14" t="s">
        <v>98</v>
      </c>
    </row>
    <row r="282" spans="33:37" x14ac:dyDescent="0.4">
      <c r="AG282" s="69" t="s">
        <v>97</v>
      </c>
      <c r="AH282" s="69" t="s">
        <v>96</v>
      </c>
      <c r="AI282" s="70" t="s">
        <v>108</v>
      </c>
      <c r="AJ282" s="69" t="s">
        <v>96</v>
      </c>
      <c r="AK282" s="14" t="s">
        <v>98</v>
      </c>
    </row>
    <row r="283" spans="33:37" x14ac:dyDescent="0.4">
      <c r="AG283" s="69" t="s">
        <v>97</v>
      </c>
      <c r="AH283" s="69" t="s">
        <v>96</v>
      </c>
      <c r="AI283" s="70" t="s">
        <v>108</v>
      </c>
      <c r="AJ283" s="69" t="s">
        <v>104</v>
      </c>
      <c r="AK283" s="14" t="s">
        <v>98</v>
      </c>
    </row>
    <row r="284" spans="33:37" x14ac:dyDescent="0.4">
      <c r="AG284" s="69" t="s">
        <v>97</v>
      </c>
      <c r="AH284" s="69" t="s">
        <v>96</v>
      </c>
      <c r="AI284" s="70" t="s">
        <v>108</v>
      </c>
      <c r="AJ284" s="69" t="s">
        <v>101</v>
      </c>
      <c r="AK284" s="14" t="s">
        <v>98</v>
      </c>
    </row>
    <row r="285" spans="33:37" x14ac:dyDescent="0.4">
      <c r="AG285" s="69" t="s">
        <v>97</v>
      </c>
      <c r="AH285" s="69" t="s">
        <v>96</v>
      </c>
      <c r="AI285" s="70" t="s">
        <v>108</v>
      </c>
      <c r="AJ285" s="70" t="s">
        <v>108</v>
      </c>
      <c r="AK285" s="14" t="s">
        <v>98</v>
      </c>
    </row>
    <row r="286" spans="33:37" x14ac:dyDescent="0.4">
      <c r="AG286" s="69" t="s">
        <v>97</v>
      </c>
      <c r="AH286" s="69" t="s">
        <v>96</v>
      </c>
      <c r="AI286" s="70" t="s">
        <v>108</v>
      </c>
      <c r="AJ286" s="69" t="s">
        <v>94</v>
      </c>
      <c r="AK286" s="14" t="s">
        <v>98</v>
      </c>
    </row>
    <row r="287" spans="33:37" x14ac:dyDescent="0.4">
      <c r="AG287" s="69" t="s">
        <v>97</v>
      </c>
      <c r="AH287" s="69" t="s">
        <v>96</v>
      </c>
      <c r="AI287" s="69" t="s">
        <v>94</v>
      </c>
      <c r="AJ287" s="69" t="s">
        <v>97</v>
      </c>
      <c r="AK287" s="14" t="s">
        <v>98</v>
      </c>
    </row>
    <row r="288" spans="33:37" x14ac:dyDescent="0.4">
      <c r="AG288" s="69" t="s">
        <v>97</v>
      </c>
      <c r="AH288" s="69" t="s">
        <v>96</v>
      </c>
      <c r="AI288" s="69" t="s">
        <v>94</v>
      </c>
      <c r="AJ288" s="69" t="s">
        <v>96</v>
      </c>
      <c r="AK288" s="14" t="s">
        <v>98</v>
      </c>
    </row>
    <row r="289" spans="33:37" x14ac:dyDescent="0.4">
      <c r="AG289" s="69" t="s">
        <v>97</v>
      </c>
      <c r="AH289" s="69" t="s">
        <v>96</v>
      </c>
      <c r="AI289" s="69" t="s">
        <v>94</v>
      </c>
      <c r="AJ289" s="69" t="s">
        <v>104</v>
      </c>
      <c r="AK289" s="14" t="s">
        <v>98</v>
      </c>
    </row>
    <row r="290" spans="33:37" x14ac:dyDescent="0.4">
      <c r="AG290" s="69" t="s">
        <v>97</v>
      </c>
      <c r="AH290" s="69" t="s">
        <v>96</v>
      </c>
      <c r="AI290" s="69" t="s">
        <v>94</v>
      </c>
      <c r="AJ290" s="69" t="s">
        <v>101</v>
      </c>
      <c r="AK290" s="14" t="s">
        <v>98</v>
      </c>
    </row>
    <row r="291" spans="33:37" x14ac:dyDescent="0.4">
      <c r="AG291" s="69" t="s">
        <v>97</v>
      </c>
      <c r="AH291" s="69" t="s">
        <v>96</v>
      </c>
      <c r="AI291" s="69" t="s">
        <v>94</v>
      </c>
      <c r="AJ291" s="70" t="s">
        <v>108</v>
      </c>
      <c r="AK291" s="14" t="s">
        <v>98</v>
      </c>
    </row>
    <row r="292" spans="33:37" x14ac:dyDescent="0.4">
      <c r="AG292" s="69" t="s">
        <v>97</v>
      </c>
      <c r="AH292" s="69" t="s">
        <v>96</v>
      </c>
      <c r="AI292" s="69" t="s">
        <v>94</v>
      </c>
      <c r="AJ292" s="69" t="s">
        <v>94</v>
      </c>
      <c r="AK292" s="14" t="s">
        <v>98</v>
      </c>
    </row>
    <row r="293" spans="33:37" x14ac:dyDescent="0.4">
      <c r="AG293" s="69" t="s">
        <v>97</v>
      </c>
      <c r="AH293" s="69" t="s">
        <v>104</v>
      </c>
      <c r="AI293" s="69" t="s">
        <v>97</v>
      </c>
      <c r="AJ293" s="69" t="s">
        <v>97</v>
      </c>
      <c r="AK293" s="14" t="s">
        <v>98</v>
      </c>
    </row>
    <row r="294" spans="33:37" x14ac:dyDescent="0.4">
      <c r="AG294" s="69" t="s">
        <v>97</v>
      </c>
      <c r="AH294" s="69" t="s">
        <v>104</v>
      </c>
      <c r="AI294" s="69" t="s">
        <v>97</v>
      </c>
      <c r="AJ294" s="69" t="s">
        <v>96</v>
      </c>
      <c r="AK294" s="14" t="s">
        <v>98</v>
      </c>
    </row>
    <row r="295" spans="33:37" x14ac:dyDescent="0.4">
      <c r="AG295" s="69" t="s">
        <v>97</v>
      </c>
      <c r="AH295" s="69" t="s">
        <v>104</v>
      </c>
      <c r="AI295" s="69" t="s">
        <v>97</v>
      </c>
      <c r="AJ295" s="69" t="s">
        <v>104</v>
      </c>
      <c r="AK295" s="14" t="s">
        <v>98</v>
      </c>
    </row>
    <row r="296" spans="33:37" x14ac:dyDescent="0.4">
      <c r="AG296" s="69" t="s">
        <v>97</v>
      </c>
      <c r="AH296" s="69" t="s">
        <v>104</v>
      </c>
      <c r="AI296" s="69" t="s">
        <v>97</v>
      </c>
      <c r="AJ296" s="69" t="s">
        <v>101</v>
      </c>
      <c r="AK296" s="14" t="s">
        <v>98</v>
      </c>
    </row>
    <row r="297" spans="33:37" x14ac:dyDescent="0.4">
      <c r="AG297" s="69" t="s">
        <v>97</v>
      </c>
      <c r="AH297" s="69" t="s">
        <v>104</v>
      </c>
      <c r="AI297" s="69" t="s">
        <v>97</v>
      </c>
      <c r="AJ297" s="70" t="s">
        <v>108</v>
      </c>
      <c r="AK297" s="14" t="s">
        <v>98</v>
      </c>
    </row>
    <row r="298" spans="33:37" x14ac:dyDescent="0.4">
      <c r="AG298" s="69" t="s">
        <v>97</v>
      </c>
      <c r="AH298" s="69" t="s">
        <v>104</v>
      </c>
      <c r="AI298" s="69" t="s">
        <v>97</v>
      </c>
      <c r="AJ298" s="69" t="s">
        <v>94</v>
      </c>
      <c r="AK298" s="14" t="s">
        <v>98</v>
      </c>
    </row>
    <row r="299" spans="33:37" x14ac:dyDescent="0.4">
      <c r="AG299" s="69" t="s">
        <v>97</v>
      </c>
      <c r="AH299" s="69" t="s">
        <v>104</v>
      </c>
      <c r="AI299" s="69" t="s">
        <v>96</v>
      </c>
      <c r="AJ299" s="69" t="s">
        <v>97</v>
      </c>
      <c r="AK299" s="14" t="s">
        <v>98</v>
      </c>
    </row>
    <row r="300" spans="33:37" x14ac:dyDescent="0.4">
      <c r="AG300" s="69" t="s">
        <v>97</v>
      </c>
      <c r="AH300" s="69" t="s">
        <v>104</v>
      </c>
      <c r="AI300" s="69" t="s">
        <v>96</v>
      </c>
      <c r="AJ300" s="69" t="s">
        <v>96</v>
      </c>
      <c r="AK300" s="14" t="s">
        <v>98</v>
      </c>
    </row>
    <row r="301" spans="33:37" x14ac:dyDescent="0.4">
      <c r="AG301" s="69" t="s">
        <v>97</v>
      </c>
      <c r="AH301" s="69" t="s">
        <v>104</v>
      </c>
      <c r="AI301" s="69" t="s">
        <v>96</v>
      </c>
      <c r="AJ301" s="69" t="s">
        <v>104</v>
      </c>
      <c r="AK301" s="14" t="s">
        <v>98</v>
      </c>
    </row>
    <row r="302" spans="33:37" x14ac:dyDescent="0.4">
      <c r="AG302" s="69" t="s">
        <v>97</v>
      </c>
      <c r="AH302" s="69" t="s">
        <v>104</v>
      </c>
      <c r="AI302" s="69" t="s">
        <v>96</v>
      </c>
      <c r="AJ302" s="69" t="s">
        <v>101</v>
      </c>
      <c r="AK302" s="14" t="s">
        <v>98</v>
      </c>
    </row>
    <row r="303" spans="33:37" x14ac:dyDescent="0.4">
      <c r="AG303" s="69" t="s">
        <v>97</v>
      </c>
      <c r="AH303" s="69" t="s">
        <v>104</v>
      </c>
      <c r="AI303" s="69" t="s">
        <v>96</v>
      </c>
      <c r="AJ303" s="70" t="s">
        <v>108</v>
      </c>
      <c r="AK303" s="14" t="s">
        <v>98</v>
      </c>
    </row>
    <row r="304" spans="33:37" x14ac:dyDescent="0.4">
      <c r="AG304" s="69" t="s">
        <v>97</v>
      </c>
      <c r="AH304" s="69" t="s">
        <v>104</v>
      </c>
      <c r="AI304" s="69" t="s">
        <v>96</v>
      </c>
      <c r="AJ304" s="69" t="s">
        <v>94</v>
      </c>
      <c r="AK304" s="14" t="s">
        <v>98</v>
      </c>
    </row>
    <row r="305" spans="33:37" x14ac:dyDescent="0.4">
      <c r="AG305" s="69" t="s">
        <v>97</v>
      </c>
      <c r="AH305" s="69" t="s">
        <v>104</v>
      </c>
      <c r="AI305" s="69" t="s">
        <v>104</v>
      </c>
      <c r="AJ305" s="69" t="s">
        <v>97</v>
      </c>
      <c r="AK305" s="14" t="s">
        <v>98</v>
      </c>
    </row>
    <row r="306" spans="33:37" x14ac:dyDescent="0.4">
      <c r="AG306" s="69" t="s">
        <v>97</v>
      </c>
      <c r="AH306" s="69" t="s">
        <v>104</v>
      </c>
      <c r="AI306" s="69" t="s">
        <v>104</v>
      </c>
      <c r="AJ306" s="69" t="s">
        <v>96</v>
      </c>
      <c r="AK306" s="14" t="s">
        <v>98</v>
      </c>
    </row>
    <row r="307" spans="33:37" x14ac:dyDescent="0.4">
      <c r="AG307" s="69" t="s">
        <v>97</v>
      </c>
      <c r="AH307" s="69" t="s">
        <v>104</v>
      </c>
      <c r="AI307" s="69" t="s">
        <v>104</v>
      </c>
      <c r="AJ307" s="69" t="s">
        <v>104</v>
      </c>
      <c r="AK307" s="14" t="s">
        <v>98</v>
      </c>
    </row>
    <row r="308" spans="33:37" x14ac:dyDescent="0.4">
      <c r="AG308" s="69" t="s">
        <v>97</v>
      </c>
      <c r="AH308" s="69" t="s">
        <v>104</v>
      </c>
      <c r="AI308" s="69" t="s">
        <v>104</v>
      </c>
      <c r="AJ308" s="69" t="s">
        <v>101</v>
      </c>
      <c r="AK308" s="14" t="s">
        <v>98</v>
      </c>
    </row>
    <row r="309" spans="33:37" x14ac:dyDescent="0.4">
      <c r="AG309" s="69" t="s">
        <v>97</v>
      </c>
      <c r="AH309" s="69" t="s">
        <v>104</v>
      </c>
      <c r="AI309" s="69" t="s">
        <v>104</v>
      </c>
      <c r="AJ309" s="70" t="s">
        <v>108</v>
      </c>
      <c r="AK309" s="14" t="s">
        <v>98</v>
      </c>
    </row>
    <row r="310" spans="33:37" x14ac:dyDescent="0.4">
      <c r="AG310" s="69" t="s">
        <v>97</v>
      </c>
      <c r="AH310" s="69" t="s">
        <v>104</v>
      </c>
      <c r="AI310" s="69" t="s">
        <v>104</v>
      </c>
      <c r="AJ310" s="69" t="s">
        <v>94</v>
      </c>
      <c r="AK310" s="14" t="s">
        <v>98</v>
      </c>
    </row>
    <row r="311" spans="33:37" x14ac:dyDescent="0.4">
      <c r="AG311" s="69" t="s">
        <v>97</v>
      </c>
      <c r="AH311" s="69" t="s">
        <v>104</v>
      </c>
      <c r="AI311" s="69" t="s">
        <v>101</v>
      </c>
      <c r="AJ311" s="69" t="s">
        <v>97</v>
      </c>
      <c r="AK311" s="14" t="s">
        <v>98</v>
      </c>
    </row>
    <row r="312" spans="33:37" x14ac:dyDescent="0.4">
      <c r="AG312" s="69" t="s">
        <v>97</v>
      </c>
      <c r="AH312" s="69" t="s">
        <v>104</v>
      </c>
      <c r="AI312" s="69" t="s">
        <v>101</v>
      </c>
      <c r="AJ312" s="69" t="s">
        <v>96</v>
      </c>
      <c r="AK312" s="14" t="s">
        <v>98</v>
      </c>
    </row>
    <row r="313" spans="33:37" x14ac:dyDescent="0.4">
      <c r="AG313" s="69" t="s">
        <v>97</v>
      </c>
      <c r="AH313" s="69" t="s">
        <v>104</v>
      </c>
      <c r="AI313" s="69" t="s">
        <v>101</v>
      </c>
      <c r="AJ313" s="69" t="s">
        <v>104</v>
      </c>
      <c r="AK313" s="14" t="s">
        <v>98</v>
      </c>
    </row>
    <row r="314" spans="33:37" x14ac:dyDescent="0.4">
      <c r="AG314" s="69" t="s">
        <v>97</v>
      </c>
      <c r="AH314" s="69" t="s">
        <v>104</v>
      </c>
      <c r="AI314" s="69" t="s">
        <v>101</v>
      </c>
      <c r="AJ314" s="69" t="s">
        <v>101</v>
      </c>
      <c r="AK314" s="14" t="s">
        <v>98</v>
      </c>
    </row>
    <row r="315" spans="33:37" x14ac:dyDescent="0.4">
      <c r="AG315" s="69" t="s">
        <v>97</v>
      </c>
      <c r="AH315" s="69" t="s">
        <v>104</v>
      </c>
      <c r="AI315" s="69" t="s">
        <v>101</v>
      </c>
      <c r="AJ315" s="70" t="s">
        <v>108</v>
      </c>
      <c r="AK315" s="14" t="s">
        <v>98</v>
      </c>
    </row>
    <row r="316" spans="33:37" x14ac:dyDescent="0.4">
      <c r="AG316" s="69" t="s">
        <v>97</v>
      </c>
      <c r="AH316" s="69" t="s">
        <v>104</v>
      </c>
      <c r="AI316" s="69" t="s">
        <v>101</v>
      </c>
      <c r="AJ316" s="69" t="s">
        <v>94</v>
      </c>
      <c r="AK316" s="14" t="s">
        <v>98</v>
      </c>
    </row>
    <row r="317" spans="33:37" x14ac:dyDescent="0.4">
      <c r="AG317" s="69" t="s">
        <v>97</v>
      </c>
      <c r="AH317" s="69" t="s">
        <v>104</v>
      </c>
      <c r="AI317" s="70" t="s">
        <v>108</v>
      </c>
      <c r="AJ317" s="69" t="s">
        <v>97</v>
      </c>
      <c r="AK317" s="14" t="s">
        <v>98</v>
      </c>
    </row>
    <row r="318" spans="33:37" x14ac:dyDescent="0.4">
      <c r="AG318" s="69" t="s">
        <v>97</v>
      </c>
      <c r="AH318" s="69" t="s">
        <v>104</v>
      </c>
      <c r="AI318" s="70" t="s">
        <v>108</v>
      </c>
      <c r="AJ318" s="69" t="s">
        <v>96</v>
      </c>
      <c r="AK318" s="14" t="s">
        <v>98</v>
      </c>
    </row>
    <row r="319" spans="33:37" x14ac:dyDescent="0.4">
      <c r="AG319" s="69" t="s">
        <v>97</v>
      </c>
      <c r="AH319" s="69" t="s">
        <v>104</v>
      </c>
      <c r="AI319" s="70" t="s">
        <v>108</v>
      </c>
      <c r="AJ319" s="69" t="s">
        <v>104</v>
      </c>
      <c r="AK319" s="14" t="s">
        <v>98</v>
      </c>
    </row>
    <row r="320" spans="33:37" x14ac:dyDescent="0.4">
      <c r="AG320" s="69" t="s">
        <v>97</v>
      </c>
      <c r="AH320" s="69" t="s">
        <v>104</v>
      </c>
      <c r="AI320" s="70" t="s">
        <v>108</v>
      </c>
      <c r="AJ320" s="69" t="s">
        <v>101</v>
      </c>
      <c r="AK320" s="14" t="s">
        <v>98</v>
      </c>
    </row>
    <row r="321" spans="33:37" x14ac:dyDescent="0.4">
      <c r="AG321" s="69" t="s">
        <v>97</v>
      </c>
      <c r="AH321" s="69" t="s">
        <v>104</v>
      </c>
      <c r="AI321" s="70" t="s">
        <v>108</v>
      </c>
      <c r="AJ321" s="70" t="s">
        <v>108</v>
      </c>
      <c r="AK321" s="14" t="s">
        <v>98</v>
      </c>
    </row>
    <row r="322" spans="33:37" x14ac:dyDescent="0.4">
      <c r="AG322" s="69" t="s">
        <v>97</v>
      </c>
      <c r="AH322" s="69" t="s">
        <v>104</v>
      </c>
      <c r="AI322" s="70" t="s">
        <v>108</v>
      </c>
      <c r="AJ322" s="69" t="s">
        <v>94</v>
      </c>
      <c r="AK322" s="14" t="s">
        <v>98</v>
      </c>
    </row>
    <row r="323" spans="33:37" x14ac:dyDescent="0.4">
      <c r="AG323" s="69" t="s">
        <v>97</v>
      </c>
      <c r="AH323" s="69" t="s">
        <v>104</v>
      </c>
      <c r="AI323" s="69" t="s">
        <v>94</v>
      </c>
      <c r="AJ323" s="69" t="s">
        <v>97</v>
      </c>
      <c r="AK323" s="14" t="s">
        <v>98</v>
      </c>
    </row>
    <row r="324" spans="33:37" x14ac:dyDescent="0.4">
      <c r="AG324" s="69" t="s">
        <v>97</v>
      </c>
      <c r="AH324" s="69" t="s">
        <v>104</v>
      </c>
      <c r="AI324" s="69" t="s">
        <v>94</v>
      </c>
      <c r="AJ324" s="69" t="s">
        <v>96</v>
      </c>
      <c r="AK324" s="14" t="s">
        <v>98</v>
      </c>
    </row>
    <row r="325" spans="33:37" x14ac:dyDescent="0.4">
      <c r="AG325" s="69" t="s">
        <v>97</v>
      </c>
      <c r="AH325" s="69" t="s">
        <v>104</v>
      </c>
      <c r="AI325" s="69" t="s">
        <v>94</v>
      </c>
      <c r="AJ325" s="69" t="s">
        <v>104</v>
      </c>
      <c r="AK325" s="14" t="s">
        <v>98</v>
      </c>
    </row>
    <row r="326" spans="33:37" x14ac:dyDescent="0.4">
      <c r="AG326" s="69" t="s">
        <v>97</v>
      </c>
      <c r="AH326" s="69" t="s">
        <v>104</v>
      </c>
      <c r="AI326" s="69" t="s">
        <v>94</v>
      </c>
      <c r="AJ326" s="69" t="s">
        <v>101</v>
      </c>
      <c r="AK326" s="14" t="s">
        <v>98</v>
      </c>
    </row>
    <row r="327" spans="33:37" x14ac:dyDescent="0.4">
      <c r="AG327" s="69" t="s">
        <v>97</v>
      </c>
      <c r="AH327" s="69" t="s">
        <v>104</v>
      </c>
      <c r="AI327" s="69" t="s">
        <v>94</v>
      </c>
      <c r="AJ327" s="70" t="s">
        <v>108</v>
      </c>
      <c r="AK327" s="14" t="s">
        <v>98</v>
      </c>
    </row>
    <row r="328" spans="33:37" x14ac:dyDescent="0.4">
      <c r="AG328" s="69" t="s">
        <v>97</v>
      </c>
      <c r="AH328" s="69" t="s">
        <v>104</v>
      </c>
      <c r="AI328" s="69" t="s">
        <v>94</v>
      </c>
      <c r="AJ328" s="69" t="s">
        <v>94</v>
      </c>
      <c r="AK328" s="14" t="s">
        <v>98</v>
      </c>
    </row>
    <row r="329" spans="33:37" x14ac:dyDescent="0.4">
      <c r="AG329" s="69" t="s">
        <v>97</v>
      </c>
      <c r="AH329" s="69" t="s">
        <v>101</v>
      </c>
      <c r="AI329" s="69" t="s">
        <v>97</v>
      </c>
      <c r="AJ329" s="69" t="s">
        <v>97</v>
      </c>
      <c r="AK329" s="14" t="s">
        <v>98</v>
      </c>
    </row>
    <row r="330" spans="33:37" x14ac:dyDescent="0.4">
      <c r="AG330" s="69" t="s">
        <v>97</v>
      </c>
      <c r="AH330" s="69" t="s">
        <v>101</v>
      </c>
      <c r="AI330" s="69" t="s">
        <v>97</v>
      </c>
      <c r="AJ330" s="69" t="s">
        <v>96</v>
      </c>
      <c r="AK330" s="14" t="s">
        <v>98</v>
      </c>
    </row>
    <row r="331" spans="33:37" x14ac:dyDescent="0.4">
      <c r="AG331" s="69" t="s">
        <v>97</v>
      </c>
      <c r="AH331" s="69" t="s">
        <v>101</v>
      </c>
      <c r="AI331" s="69" t="s">
        <v>97</v>
      </c>
      <c r="AJ331" s="69" t="s">
        <v>104</v>
      </c>
      <c r="AK331" s="14" t="s">
        <v>98</v>
      </c>
    </row>
    <row r="332" spans="33:37" x14ac:dyDescent="0.4">
      <c r="AG332" s="69" t="s">
        <v>97</v>
      </c>
      <c r="AH332" s="69" t="s">
        <v>101</v>
      </c>
      <c r="AI332" s="69" t="s">
        <v>97</v>
      </c>
      <c r="AJ332" s="69" t="s">
        <v>101</v>
      </c>
      <c r="AK332" s="14" t="s">
        <v>98</v>
      </c>
    </row>
    <row r="333" spans="33:37" x14ac:dyDescent="0.4">
      <c r="AG333" s="69" t="s">
        <v>97</v>
      </c>
      <c r="AH333" s="69" t="s">
        <v>101</v>
      </c>
      <c r="AI333" s="69" t="s">
        <v>97</v>
      </c>
      <c r="AJ333" s="70" t="s">
        <v>108</v>
      </c>
      <c r="AK333" s="14" t="s">
        <v>98</v>
      </c>
    </row>
    <row r="334" spans="33:37" x14ac:dyDescent="0.4">
      <c r="AG334" s="69" t="s">
        <v>97</v>
      </c>
      <c r="AH334" s="69" t="s">
        <v>101</v>
      </c>
      <c r="AI334" s="69" t="s">
        <v>97</v>
      </c>
      <c r="AJ334" s="69" t="s">
        <v>94</v>
      </c>
      <c r="AK334" s="14" t="s">
        <v>98</v>
      </c>
    </row>
    <row r="335" spans="33:37" x14ac:dyDescent="0.4">
      <c r="AG335" s="69" t="s">
        <v>97</v>
      </c>
      <c r="AH335" s="69" t="s">
        <v>101</v>
      </c>
      <c r="AI335" s="69" t="s">
        <v>96</v>
      </c>
      <c r="AJ335" s="69" t="s">
        <v>97</v>
      </c>
      <c r="AK335" s="14" t="s">
        <v>98</v>
      </c>
    </row>
    <row r="336" spans="33:37" x14ac:dyDescent="0.4">
      <c r="AG336" s="69" t="s">
        <v>97</v>
      </c>
      <c r="AH336" s="69" t="s">
        <v>101</v>
      </c>
      <c r="AI336" s="69" t="s">
        <v>96</v>
      </c>
      <c r="AJ336" s="69" t="s">
        <v>96</v>
      </c>
      <c r="AK336" s="14" t="s">
        <v>98</v>
      </c>
    </row>
    <row r="337" spans="33:37" x14ac:dyDescent="0.4">
      <c r="AG337" s="69" t="s">
        <v>97</v>
      </c>
      <c r="AH337" s="69" t="s">
        <v>101</v>
      </c>
      <c r="AI337" s="69" t="s">
        <v>96</v>
      </c>
      <c r="AJ337" s="69" t="s">
        <v>104</v>
      </c>
      <c r="AK337" s="14" t="s">
        <v>98</v>
      </c>
    </row>
    <row r="338" spans="33:37" x14ac:dyDescent="0.4">
      <c r="AG338" s="69" t="s">
        <v>97</v>
      </c>
      <c r="AH338" s="69" t="s">
        <v>101</v>
      </c>
      <c r="AI338" s="69" t="s">
        <v>96</v>
      </c>
      <c r="AJ338" s="69" t="s">
        <v>101</v>
      </c>
      <c r="AK338" s="14" t="s">
        <v>98</v>
      </c>
    </row>
    <row r="339" spans="33:37" x14ac:dyDescent="0.4">
      <c r="AG339" s="69" t="s">
        <v>97</v>
      </c>
      <c r="AH339" s="69" t="s">
        <v>101</v>
      </c>
      <c r="AI339" s="69" t="s">
        <v>96</v>
      </c>
      <c r="AJ339" s="70" t="s">
        <v>108</v>
      </c>
      <c r="AK339" s="14" t="s">
        <v>98</v>
      </c>
    </row>
    <row r="340" spans="33:37" x14ac:dyDescent="0.4">
      <c r="AG340" s="69" t="s">
        <v>97</v>
      </c>
      <c r="AH340" s="69" t="s">
        <v>101</v>
      </c>
      <c r="AI340" s="69" t="s">
        <v>96</v>
      </c>
      <c r="AJ340" s="69" t="s">
        <v>94</v>
      </c>
      <c r="AK340" s="14" t="s">
        <v>98</v>
      </c>
    </row>
    <row r="341" spans="33:37" x14ac:dyDescent="0.4">
      <c r="AG341" s="69" t="s">
        <v>97</v>
      </c>
      <c r="AH341" s="69" t="s">
        <v>101</v>
      </c>
      <c r="AI341" s="69" t="s">
        <v>104</v>
      </c>
      <c r="AJ341" s="69" t="s">
        <v>97</v>
      </c>
      <c r="AK341" s="14" t="s">
        <v>98</v>
      </c>
    </row>
    <row r="342" spans="33:37" x14ac:dyDescent="0.4">
      <c r="AG342" s="69" t="s">
        <v>97</v>
      </c>
      <c r="AH342" s="69" t="s">
        <v>101</v>
      </c>
      <c r="AI342" s="69" t="s">
        <v>104</v>
      </c>
      <c r="AJ342" s="69" t="s">
        <v>96</v>
      </c>
      <c r="AK342" s="14" t="s">
        <v>98</v>
      </c>
    </row>
    <row r="343" spans="33:37" x14ac:dyDescent="0.4">
      <c r="AG343" s="69" t="s">
        <v>97</v>
      </c>
      <c r="AH343" s="69" t="s">
        <v>101</v>
      </c>
      <c r="AI343" s="69" t="s">
        <v>104</v>
      </c>
      <c r="AJ343" s="69" t="s">
        <v>104</v>
      </c>
      <c r="AK343" s="14" t="s">
        <v>98</v>
      </c>
    </row>
    <row r="344" spans="33:37" x14ac:dyDescent="0.4">
      <c r="AG344" s="69" t="s">
        <v>97</v>
      </c>
      <c r="AH344" s="69" t="s">
        <v>101</v>
      </c>
      <c r="AI344" s="69" t="s">
        <v>104</v>
      </c>
      <c r="AJ344" s="69" t="s">
        <v>101</v>
      </c>
      <c r="AK344" s="14" t="s">
        <v>98</v>
      </c>
    </row>
    <row r="345" spans="33:37" x14ac:dyDescent="0.4">
      <c r="AG345" s="69" t="s">
        <v>97</v>
      </c>
      <c r="AH345" s="69" t="s">
        <v>101</v>
      </c>
      <c r="AI345" s="69" t="s">
        <v>104</v>
      </c>
      <c r="AJ345" s="70" t="s">
        <v>108</v>
      </c>
      <c r="AK345" s="14" t="s">
        <v>98</v>
      </c>
    </row>
    <row r="346" spans="33:37" x14ac:dyDescent="0.4">
      <c r="AG346" s="69" t="s">
        <v>97</v>
      </c>
      <c r="AH346" s="69" t="s">
        <v>101</v>
      </c>
      <c r="AI346" s="69" t="s">
        <v>104</v>
      </c>
      <c r="AJ346" s="69" t="s">
        <v>94</v>
      </c>
      <c r="AK346" s="14" t="s">
        <v>98</v>
      </c>
    </row>
    <row r="347" spans="33:37" x14ac:dyDescent="0.4">
      <c r="AG347" s="69" t="s">
        <v>97</v>
      </c>
      <c r="AH347" s="69" t="s">
        <v>101</v>
      </c>
      <c r="AI347" s="69" t="s">
        <v>101</v>
      </c>
      <c r="AJ347" s="69" t="s">
        <v>97</v>
      </c>
      <c r="AK347" s="14" t="s">
        <v>98</v>
      </c>
    </row>
    <row r="348" spans="33:37" x14ac:dyDescent="0.4">
      <c r="AG348" s="69" t="s">
        <v>97</v>
      </c>
      <c r="AH348" s="69" t="s">
        <v>101</v>
      </c>
      <c r="AI348" s="69" t="s">
        <v>101</v>
      </c>
      <c r="AJ348" s="69" t="s">
        <v>96</v>
      </c>
      <c r="AK348" s="14" t="s">
        <v>98</v>
      </c>
    </row>
    <row r="349" spans="33:37" x14ac:dyDescent="0.4">
      <c r="AG349" s="69" t="s">
        <v>97</v>
      </c>
      <c r="AH349" s="69" t="s">
        <v>101</v>
      </c>
      <c r="AI349" s="69" t="s">
        <v>101</v>
      </c>
      <c r="AJ349" s="69" t="s">
        <v>104</v>
      </c>
      <c r="AK349" s="14" t="s">
        <v>98</v>
      </c>
    </row>
    <row r="350" spans="33:37" x14ac:dyDescent="0.4">
      <c r="AG350" s="69" t="s">
        <v>97</v>
      </c>
      <c r="AH350" s="69" t="s">
        <v>101</v>
      </c>
      <c r="AI350" s="69" t="s">
        <v>101</v>
      </c>
      <c r="AJ350" s="69" t="s">
        <v>101</v>
      </c>
      <c r="AK350" s="14" t="s">
        <v>98</v>
      </c>
    </row>
    <row r="351" spans="33:37" x14ac:dyDescent="0.4">
      <c r="AG351" s="69" t="s">
        <v>97</v>
      </c>
      <c r="AH351" s="69" t="s">
        <v>101</v>
      </c>
      <c r="AI351" s="69" t="s">
        <v>101</v>
      </c>
      <c r="AJ351" s="70" t="s">
        <v>108</v>
      </c>
      <c r="AK351" s="14" t="s">
        <v>98</v>
      </c>
    </row>
    <row r="352" spans="33:37" x14ac:dyDescent="0.4">
      <c r="AG352" s="69" t="s">
        <v>97</v>
      </c>
      <c r="AH352" s="69" t="s">
        <v>101</v>
      </c>
      <c r="AI352" s="69" t="s">
        <v>101</v>
      </c>
      <c r="AJ352" s="69" t="s">
        <v>94</v>
      </c>
      <c r="AK352" s="14" t="s">
        <v>98</v>
      </c>
    </row>
    <row r="353" spans="33:37" x14ac:dyDescent="0.4">
      <c r="AG353" s="69" t="s">
        <v>97</v>
      </c>
      <c r="AH353" s="69" t="s">
        <v>101</v>
      </c>
      <c r="AI353" s="70" t="s">
        <v>108</v>
      </c>
      <c r="AJ353" s="69" t="s">
        <v>97</v>
      </c>
      <c r="AK353" s="14" t="s">
        <v>98</v>
      </c>
    </row>
    <row r="354" spans="33:37" x14ac:dyDescent="0.4">
      <c r="AG354" s="69" t="s">
        <v>97</v>
      </c>
      <c r="AH354" s="69" t="s">
        <v>101</v>
      </c>
      <c r="AI354" s="70" t="s">
        <v>108</v>
      </c>
      <c r="AJ354" s="69" t="s">
        <v>96</v>
      </c>
      <c r="AK354" s="14" t="s">
        <v>98</v>
      </c>
    </row>
    <row r="355" spans="33:37" x14ac:dyDescent="0.4">
      <c r="AG355" s="69" t="s">
        <v>97</v>
      </c>
      <c r="AH355" s="69" t="s">
        <v>101</v>
      </c>
      <c r="AI355" s="70" t="s">
        <v>108</v>
      </c>
      <c r="AJ355" s="69" t="s">
        <v>104</v>
      </c>
      <c r="AK355" s="14" t="s">
        <v>98</v>
      </c>
    </row>
    <row r="356" spans="33:37" x14ac:dyDescent="0.4">
      <c r="AG356" s="69" t="s">
        <v>97</v>
      </c>
      <c r="AH356" s="69" t="s">
        <v>101</v>
      </c>
      <c r="AI356" s="70" t="s">
        <v>108</v>
      </c>
      <c r="AJ356" s="69" t="s">
        <v>101</v>
      </c>
      <c r="AK356" s="14" t="s">
        <v>98</v>
      </c>
    </row>
    <row r="357" spans="33:37" x14ac:dyDescent="0.4">
      <c r="AG357" s="69" t="s">
        <v>97</v>
      </c>
      <c r="AH357" s="69" t="s">
        <v>101</v>
      </c>
      <c r="AI357" s="70" t="s">
        <v>108</v>
      </c>
      <c r="AJ357" s="70" t="s">
        <v>108</v>
      </c>
      <c r="AK357" s="14" t="s">
        <v>98</v>
      </c>
    </row>
    <row r="358" spans="33:37" x14ac:dyDescent="0.4">
      <c r="AG358" s="69" t="s">
        <v>97</v>
      </c>
      <c r="AH358" s="69" t="s">
        <v>101</v>
      </c>
      <c r="AI358" s="70" t="s">
        <v>108</v>
      </c>
      <c r="AJ358" s="69" t="s">
        <v>94</v>
      </c>
      <c r="AK358" s="14" t="s">
        <v>98</v>
      </c>
    </row>
    <row r="359" spans="33:37" x14ac:dyDescent="0.4">
      <c r="AG359" s="69" t="s">
        <v>97</v>
      </c>
      <c r="AH359" s="69" t="s">
        <v>101</v>
      </c>
      <c r="AI359" s="69" t="s">
        <v>94</v>
      </c>
      <c r="AJ359" s="69" t="s">
        <v>97</v>
      </c>
      <c r="AK359" s="14" t="s">
        <v>98</v>
      </c>
    </row>
    <row r="360" spans="33:37" x14ac:dyDescent="0.4">
      <c r="AG360" s="69" t="s">
        <v>97</v>
      </c>
      <c r="AH360" s="69" t="s">
        <v>101</v>
      </c>
      <c r="AI360" s="69" t="s">
        <v>94</v>
      </c>
      <c r="AJ360" s="69" t="s">
        <v>96</v>
      </c>
      <c r="AK360" s="14" t="s">
        <v>98</v>
      </c>
    </row>
    <row r="361" spans="33:37" x14ac:dyDescent="0.4">
      <c r="AG361" s="69" t="s">
        <v>97</v>
      </c>
      <c r="AH361" s="69" t="s">
        <v>101</v>
      </c>
      <c r="AI361" s="69" t="s">
        <v>94</v>
      </c>
      <c r="AJ361" s="69" t="s">
        <v>104</v>
      </c>
      <c r="AK361" s="14" t="s">
        <v>98</v>
      </c>
    </row>
    <row r="362" spans="33:37" x14ac:dyDescent="0.4">
      <c r="AG362" s="69" t="s">
        <v>97</v>
      </c>
      <c r="AH362" s="69" t="s">
        <v>101</v>
      </c>
      <c r="AI362" s="69" t="s">
        <v>94</v>
      </c>
      <c r="AJ362" s="69" t="s">
        <v>101</v>
      </c>
      <c r="AK362" s="14" t="s">
        <v>98</v>
      </c>
    </row>
    <row r="363" spans="33:37" x14ac:dyDescent="0.4">
      <c r="AG363" s="69" t="s">
        <v>97</v>
      </c>
      <c r="AH363" s="69" t="s">
        <v>101</v>
      </c>
      <c r="AI363" s="69" t="s">
        <v>94</v>
      </c>
      <c r="AJ363" s="70" t="s">
        <v>108</v>
      </c>
      <c r="AK363" s="14" t="s">
        <v>98</v>
      </c>
    </row>
    <row r="364" spans="33:37" x14ac:dyDescent="0.4">
      <c r="AG364" s="69" t="s">
        <v>97</v>
      </c>
      <c r="AH364" s="69" t="s">
        <v>101</v>
      </c>
      <c r="AI364" s="69" t="s">
        <v>94</v>
      </c>
      <c r="AJ364" s="69" t="s">
        <v>94</v>
      </c>
      <c r="AK364" s="14" t="s">
        <v>98</v>
      </c>
    </row>
    <row r="365" spans="33:37" x14ac:dyDescent="0.4">
      <c r="AG365" s="69" t="s">
        <v>97</v>
      </c>
      <c r="AH365" s="70" t="s">
        <v>108</v>
      </c>
      <c r="AI365" s="69" t="s">
        <v>97</v>
      </c>
      <c r="AJ365" s="69" t="s">
        <v>97</v>
      </c>
      <c r="AK365" s="14" t="s">
        <v>98</v>
      </c>
    </row>
    <row r="366" spans="33:37" x14ac:dyDescent="0.4">
      <c r="AG366" s="69" t="s">
        <v>97</v>
      </c>
      <c r="AH366" s="70" t="s">
        <v>108</v>
      </c>
      <c r="AI366" s="69" t="s">
        <v>97</v>
      </c>
      <c r="AJ366" s="69" t="s">
        <v>96</v>
      </c>
      <c r="AK366" s="14" t="s">
        <v>98</v>
      </c>
    </row>
    <row r="367" spans="33:37" x14ac:dyDescent="0.4">
      <c r="AG367" s="69" t="s">
        <v>97</v>
      </c>
      <c r="AH367" s="70" t="s">
        <v>108</v>
      </c>
      <c r="AI367" s="69" t="s">
        <v>97</v>
      </c>
      <c r="AJ367" s="69" t="s">
        <v>104</v>
      </c>
      <c r="AK367" s="14" t="s">
        <v>98</v>
      </c>
    </row>
    <row r="368" spans="33:37" x14ac:dyDescent="0.4">
      <c r="AG368" s="69" t="s">
        <v>97</v>
      </c>
      <c r="AH368" s="70" t="s">
        <v>108</v>
      </c>
      <c r="AI368" s="69" t="s">
        <v>97</v>
      </c>
      <c r="AJ368" s="69" t="s">
        <v>101</v>
      </c>
      <c r="AK368" s="14" t="s">
        <v>98</v>
      </c>
    </row>
    <row r="369" spans="33:37" x14ac:dyDescent="0.4">
      <c r="AG369" s="69" t="s">
        <v>97</v>
      </c>
      <c r="AH369" s="70" t="s">
        <v>108</v>
      </c>
      <c r="AI369" s="69" t="s">
        <v>97</v>
      </c>
      <c r="AJ369" s="70" t="s">
        <v>108</v>
      </c>
      <c r="AK369" s="14" t="s">
        <v>98</v>
      </c>
    </row>
    <row r="370" spans="33:37" x14ac:dyDescent="0.4">
      <c r="AG370" s="69" t="s">
        <v>97</v>
      </c>
      <c r="AH370" s="70" t="s">
        <v>108</v>
      </c>
      <c r="AI370" s="69" t="s">
        <v>97</v>
      </c>
      <c r="AJ370" s="69" t="s">
        <v>94</v>
      </c>
      <c r="AK370" s="14" t="s">
        <v>98</v>
      </c>
    </row>
    <row r="371" spans="33:37" x14ac:dyDescent="0.4">
      <c r="AG371" s="69" t="s">
        <v>97</v>
      </c>
      <c r="AH371" s="70" t="s">
        <v>108</v>
      </c>
      <c r="AI371" s="69" t="s">
        <v>96</v>
      </c>
      <c r="AJ371" s="69" t="s">
        <v>97</v>
      </c>
      <c r="AK371" s="14" t="s">
        <v>98</v>
      </c>
    </row>
    <row r="372" spans="33:37" x14ac:dyDescent="0.4">
      <c r="AG372" s="69" t="s">
        <v>97</v>
      </c>
      <c r="AH372" s="70" t="s">
        <v>108</v>
      </c>
      <c r="AI372" s="69" t="s">
        <v>96</v>
      </c>
      <c r="AJ372" s="69" t="s">
        <v>96</v>
      </c>
      <c r="AK372" s="14" t="s">
        <v>98</v>
      </c>
    </row>
    <row r="373" spans="33:37" x14ac:dyDescent="0.4">
      <c r="AG373" s="69" t="s">
        <v>97</v>
      </c>
      <c r="AH373" s="70" t="s">
        <v>108</v>
      </c>
      <c r="AI373" s="69" t="s">
        <v>96</v>
      </c>
      <c r="AJ373" s="69" t="s">
        <v>104</v>
      </c>
      <c r="AK373" s="14" t="s">
        <v>98</v>
      </c>
    </row>
    <row r="374" spans="33:37" x14ac:dyDescent="0.4">
      <c r="AG374" s="69" t="s">
        <v>97</v>
      </c>
      <c r="AH374" s="70" t="s">
        <v>108</v>
      </c>
      <c r="AI374" s="69" t="s">
        <v>96</v>
      </c>
      <c r="AJ374" s="69" t="s">
        <v>101</v>
      </c>
      <c r="AK374" s="14" t="s">
        <v>98</v>
      </c>
    </row>
    <row r="375" spans="33:37" x14ac:dyDescent="0.4">
      <c r="AG375" s="69" t="s">
        <v>97</v>
      </c>
      <c r="AH375" s="70" t="s">
        <v>108</v>
      </c>
      <c r="AI375" s="69" t="s">
        <v>96</v>
      </c>
      <c r="AJ375" s="70" t="s">
        <v>108</v>
      </c>
      <c r="AK375" s="14" t="s">
        <v>98</v>
      </c>
    </row>
    <row r="376" spans="33:37" x14ac:dyDescent="0.4">
      <c r="AG376" s="69" t="s">
        <v>97</v>
      </c>
      <c r="AH376" s="70" t="s">
        <v>108</v>
      </c>
      <c r="AI376" s="69" t="s">
        <v>96</v>
      </c>
      <c r="AJ376" s="69" t="s">
        <v>94</v>
      </c>
      <c r="AK376" s="14" t="s">
        <v>98</v>
      </c>
    </row>
    <row r="377" spans="33:37" x14ac:dyDescent="0.4">
      <c r="AG377" s="69" t="s">
        <v>97</v>
      </c>
      <c r="AH377" s="70" t="s">
        <v>108</v>
      </c>
      <c r="AI377" s="69" t="s">
        <v>104</v>
      </c>
      <c r="AJ377" s="69" t="s">
        <v>97</v>
      </c>
      <c r="AK377" s="14" t="s">
        <v>98</v>
      </c>
    </row>
    <row r="378" spans="33:37" x14ac:dyDescent="0.4">
      <c r="AG378" s="69" t="s">
        <v>97</v>
      </c>
      <c r="AH378" s="70" t="s">
        <v>108</v>
      </c>
      <c r="AI378" s="69" t="s">
        <v>104</v>
      </c>
      <c r="AJ378" s="69" t="s">
        <v>96</v>
      </c>
      <c r="AK378" s="14" t="s">
        <v>98</v>
      </c>
    </row>
    <row r="379" spans="33:37" x14ac:dyDescent="0.4">
      <c r="AG379" s="69" t="s">
        <v>97</v>
      </c>
      <c r="AH379" s="70" t="s">
        <v>108</v>
      </c>
      <c r="AI379" s="69" t="s">
        <v>104</v>
      </c>
      <c r="AJ379" s="69" t="s">
        <v>104</v>
      </c>
      <c r="AK379" s="14" t="s">
        <v>98</v>
      </c>
    </row>
    <row r="380" spans="33:37" x14ac:dyDescent="0.4">
      <c r="AG380" s="69" t="s">
        <v>97</v>
      </c>
      <c r="AH380" s="70" t="s">
        <v>108</v>
      </c>
      <c r="AI380" s="69" t="s">
        <v>104</v>
      </c>
      <c r="AJ380" s="69" t="s">
        <v>101</v>
      </c>
      <c r="AK380" s="14" t="s">
        <v>98</v>
      </c>
    </row>
    <row r="381" spans="33:37" x14ac:dyDescent="0.4">
      <c r="AG381" s="69" t="s">
        <v>97</v>
      </c>
      <c r="AH381" s="70" t="s">
        <v>108</v>
      </c>
      <c r="AI381" s="69" t="s">
        <v>104</v>
      </c>
      <c r="AJ381" s="70" t="s">
        <v>108</v>
      </c>
      <c r="AK381" s="14" t="s">
        <v>98</v>
      </c>
    </row>
    <row r="382" spans="33:37" x14ac:dyDescent="0.4">
      <c r="AG382" s="69" t="s">
        <v>97</v>
      </c>
      <c r="AH382" s="70" t="s">
        <v>108</v>
      </c>
      <c r="AI382" s="69" t="s">
        <v>104</v>
      </c>
      <c r="AJ382" s="69" t="s">
        <v>94</v>
      </c>
      <c r="AK382" s="14" t="s">
        <v>98</v>
      </c>
    </row>
    <row r="383" spans="33:37" x14ac:dyDescent="0.4">
      <c r="AG383" s="69" t="s">
        <v>97</v>
      </c>
      <c r="AH383" s="70" t="s">
        <v>108</v>
      </c>
      <c r="AI383" s="69" t="s">
        <v>101</v>
      </c>
      <c r="AJ383" s="69" t="s">
        <v>97</v>
      </c>
      <c r="AK383" s="14" t="s">
        <v>98</v>
      </c>
    </row>
    <row r="384" spans="33:37" x14ac:dyDescent="0.4">
      <c r="AG384" s="69" t="s">
        <v>97</v>
      </c>
      <c r="AH384" s="70" t="s">
        <v>108</v>
      </c>
      <c r="AI384" s="69" t="s">
        <v>101</v>
      </c>
      <c r="AJ384" s="69" t="s">
        <v>96</v>
      </c>
      <c r="AK384" s="14" t="s">
        <v>98</v>
      </c>
    </row>
    <row r="385" spans="33:37" x14ac:dyDescent="0.4">
      <c r="AG385" s="69" t="s">
        <v>97</v>
      </c>
      <c r="AH385" s="70" t="s">
        <v>108</v>
      </c>
      <c r="AI385" s="69" t="s">
        <v>101</v>
      </c>
      <c r="AJ385" s="69" t="s">
        <v>104</v>
      </c>
      <c r="AK385" s="14" t="s">
        <v>98</v>
      </c>
    </row>
    <row r="386" spans="33:37" x14ac:dyDescent="0.4">
      <c r="AG386" s="69" t="s">
        <v>97</v>
      </c>
      <c r="AH386" s="70" t="s">
        <v>108</v>
      </c>
      <c r="AI386" s="69" t="s">
        <v>101</v>
      </c>
      <c r="AJ386" s="69" t="s">
        <v>101</v>
      </c>
      <c r="AK386" s="14" t="s">
        <v>98</v>
      </c>
    </row>
    <row r="387" spans="33:37" x14ac:dyDescent="0.4">
      <c r="AG387" s="69" t="s">
        <v>97</v>
      </c>
      <c r="AH387" s="70" t="s">
        <v>108</v>
      </c>
      <c r="AI387" s="69" t="s">
        <v>101</v>
      </c>
      <c r="AJ387" s="70" t="s">
        <v>108</v>
      </c>
      <c r="AK387" s="14" t="s">
        <v>98</v>
      </c>
    </row>
    <row r="388" spans="33:37" x14ac:dyDescent="0.4">
      <c r="AG388" s="69" t="s">
        <v>97</v>
      </c>
      <c r="AH388" s="70" t="s">
        <v>108</v>
      </c>
      <c r="AI388" s="69" t="s">
        <v>101</v>
      </c>
      <c r="AJ388" s="69" t="s">
        <v>94</v>
      </c>
      <c r="AK388" s="14" t="s">
        <v>98</v>
      </c>
    </row>
    <row r="389" spans="33:37" x14ac:dyDescent="0.4">
      <c r="AG389" s="69" t="s">
        <v>97</v>
      </c>
      <c r="AH389" s="70" t="s">
        <v>108</v>
      </c>
      <c r="AI389" s="70" t="s">
        <v>108</v>
      </c>
      <c r="AJ389" s="69" t="s">
        <v>97</v>
      </c>
      <c r="AK389" s="14" t="s">
        <v>98</v>
      </c>
    </row>
    <row r="390" spans="33:37" x14ac:dyDescent="0.4">
      <c r="AG390" s="69" t="s">
        <v>97</v>
      </c>
      <c r="AH390" s="70" t="s">
        <v>108</v>
      </c>
      <c r="AI390" s="70" t="s">
        <v>108</v>
      </c>
      <c r="AJ390" s="69" t="s">
        <v>96</v>
      </c>
      <c r="AK390" s="14" t="s">
        <v>98</v>
      </c>
    </row>
    <row r="391" spans="33:37" x14ac:dyDescent="0.4">
      <c r="AG391" s="69" t="s">
        <v>97</v>
      </c>
      <c r="AH391" s="70" t="s">
        <v>108</v>
      </c>
      <c r="AI391" s="70" t="s">
        <v>108</v>
      </c>
      <c r="AJ391" s="69" t="s">
        <v>104</v>
      </c>
      <c r="AK391" s="14" t="s">
        <v>98</v>
      </c>
    </row>
    <row r="392" spans="33:37" x14ac:dyDescent="0.4">
      <c r="AG392" s="69" t="s">
        <v>97</v>
      </c>
      <c r="AH392" s="70" t="s">
        <v>108</v>
      </c>
      <c r="AI392" s="70" t="s">
        <v>108</v>
      </c>
      <c r="AJ392" s="69" t="s">
        <v>101</v>
      </c>
      <c r="AK392" s="14" t="s">
        <v>98</v>
      </c>
    </row>
    <row r="393" spans="33:37" x14ac:dyDescent="0.4">
      <c r="AG393" s="69" t="s">
        <v>97</v>
      </c>
      <c r="AH393" s="70" t="s">
        <v>108</v>
      </c>
      <c r="AI393" s="70" t="s">
        <v>108</v>
      </c>
      <c r="AJ393" s="70" t="s">
        <v>108</v>
      </c>
      <c r="AK393" s="14" t="s">
        <v>98</v>
      </c>
    </row>
    <row r="394" spans="33:37" x14ac:dyDescent="0.4">
      <c r="AG394" s="69" t="s">
        <v>97</v>
      </c>
      <c r="AH394" s="70" t="s">
        <v>108</v>
      </c>
      <c r="AI394" s="70" t="s">
        <v>108</v>
      </c>
      <c r="AJ394" s="69" t="s">
        <v>94</v>
      </c>
      <c r="AK394" s="14" t="s">
        <v>98</v>
      </c>
    </row>
    <row r="395" spans="33:37" x14ac:dyDescent="0.4">
      <c r="AG395" s="69" t="s">
        <v>97</v>
      </c>
      <c r="AH395" s="70" t="s">
        <v>108</v>
      </c>
      <c r="AI395" s="69" t="s">
        <v>94</v>
      </c>
      <c r="AJ395" s="69" t="s">
        <v>97</v>
      </c>
      <c r="AK395" s="14" t="s">
        <v>98</v>
      </c>
    </row>
    <row r="396" spans="33:37" x14ac:dyDescent="0.4">
      <c r="AG396" s="69" t="s">
        <v>97</v>
      </c>
      <c r="AH396" s="70" t="s">
        <v>108</v>
      </c>
      <c r="AI396" s="69" t="s">
        <v>94</v>
      </c>
      <c r="AJ396" s="69" t="s">
        <v>96</v>
      </c>
      <c r="AK396" s="14" t="s">
        <v>98</v>
      </c>
    </row>
    <row r="397" spans="33:37" x14ac:dyDescent="0.4">
      <c r="AG397" s="69" t="s">
        <v>97</v>
      </c>
      <c r="AH397" s="70" t="s">
        <v>108</v>
      </c>
      <c r="AI397" s="69" t="s">
        <v>94</v>
      </c>
      <c r="AJ397" s="69" t="s">
        <v>104</v>
      </c>
      <c r="AK397" s="14" t="s">
        <v>98</v>
      </c>
    </row>
    <row r="398" spans="33:37" x14ac:dyDescent="0.4">
      <c r="AG398" s="69" t="s">
        <v>97</v>
      </c>
      <c r="AH398" s="70" t="s">
        <v>108</v>
      </c>
      <c r="AI398" s="69" t="s">
        <v>94</v>
      </c>
      <c r="AJ398" s="69" t="s">
        <v>101</v>
      </c>
      <c r="AK398" s="14" t="s">
        <v>98</v>
      </c>
    </row>
    <row r="399" spans="33:37" x14ac:dyDescent="0.4">
      <c r="AG399" s="69" t="s">
        <v>97</v>
      </c>
      <c r="AH399" s="70" t="s">
        <v>108</v>
      </c>
      <c r="AI399" s="69" t="s">
        <v>94</v>
      </c>
      <c r="AJ399" s="70" t="s">
        <v>108</v>
      </c>
      <c r="AK399" s="14" t="s">
        <v>98</v>
      </c>
    </row>
    <row r="400" spans="33:37" x14ac:dyDescent="0.4">
      <c r="AG400" s="69" t="s">
        <v>97</v>
      </c>
      <c r="AH400" s="70" t="s">
        <v>108</v>
      </c>
      <c r="AI400" s="69" t="s">
        <v>94</v>
      </c>
      <c r="AJ400" s="69" t="s">
        <v>94</v>
      </c>
      <c r="AK400" s="14" t="s">
        <v>98</v>
      </c>
    </row>
    <row r="401" spans="33:37" x14ac:dyDescent="0.4">
      <c r="AG401" s="69" t="s">
        <v>97</v>
      </c>
      <c r="AH401" s="69" t="s">
        <v>94</v>
      </c>
      <c r="AI401" s="69" t="s">
        <v>97</v>
      </c>
      <c r="AJ401" s="69" t="s">
        <v>97</v>
      </c>
      <c r="AK401" s="14" t="s">
        <v>98</v>
      </c>
    </row>
    <row r="402" spans="33:37" x14ac:dyDescent="0.4">
      <c r="AG402" s="69" t="s">
        <v>97</v>
      </c>
      <c r="AH402" s="69" t="s">
        <v>94</v>
      </c>
      <c r="AI402" s="69" t="s">
        <v>97</v>
      </c>
      <c r="AJ402" s="69" t="s">
        <v>96</v>
      </c>
      <c r="AK402" s="14" t="s">
        <v>98</v>
      </c>
    </row>
    <row r="403" spans="33:37" x14ac:dyDescent="0.4">
      <c r="AG403" s="69" t="s">
        <v>97</v>
      </c>
      <c r="AH403" s="69" t="s">
        <v>94</v>
      </c>
      <c r="AI403" s="69" t="s">
        <v>97</v>
      </c>
      <c r="AJ403" s="69" t="s">
        <v>104</v>
      </c>
      <c r="AK403" s="14" t="s">
        <v>98</v>
      </c>
    </row>
    <row r="404" spans="33:37" x14ac:dyDescent="0.4">
      <c r="AG404" s="69" t="s">
        <v>97</v>
      </c>
      <c r="AH404" s="69" t="s">
        <v>94</v>
      </c>
      <c r="AI404" s="69" t="s">
        <v>97</v>
      </c>
      <c r="AJ404" s="69" t="s">
        <v>101</v>
      </c>
      <c r="AK404" s="14" t="s">
        <v>98</v>
      </c>
    </row>
    <row r="405" spans="33:37" x14ac:dyDescent="0.4">
      <c r="AG405" s="69" t="s">
        <v>97</v>
      </c>
      <c r="AH405" s="69" t="s">
        <v>94</v>
      </c>
      <c r="AI405" s="69" t="s">
        <v>97</v>
      </c>
      <c r="AJ405" s="70" t="s">
        <v>108</v>
      </c>
      <c r="AK405" s="14" t="s">
        <v>98</v>
      </c>
    </row>
    <row r="406" spans="33:37" x14ac:dyDescent="0.4">
      <c r="AG406" s="69" t="s">
        <v>97</v>
      </c>
      <c r="AH406" s="69" t="s">
        <v>94</v>
      </c>
      <c r="AI406" s="69" t="s">
        <v>97</v>
      </c>
      <c r="AJ406" s="69" t="s">
        <v>94</v>
      </c>
      <c r="AK406" s="14" t="s">
        <v>98</v>
      </c>
    </row>
    <row r="407" spans="33:37" x14ac:dyDescent="0.4">
      <c r="AG407" s="69" t="s">
        <v>97</v>
      </c>
      <c r="AH407" s="69" t="s">
        <v>94</v>
      </c>
      <c r="AI407" s="69" t="s">
        <v>96</v>
      </c>
      <c r="AJ407" s="69" t="s">
        <v>97</v>
      </c>
      <c r="AK407" s="14" t="s">
        <v>98</v>
      </c>
    </row>
    <row r="408" spans="33:37" x14ac:dyDescent="0.4">
      <c r="AG408" s="69" t="s">
        <v>97</v>
      </c>
      <c r="AH408" s="69" t="s">
        <v>94</v>
      </c>
      <c r="AI408" s="69" t="s">
        <v>96</v>
      </c>
      <c r="AJ408" s="69" t="s">
        <v>96</v>
      </c>
      <c r="AK408" s="14" t="s">
        <v>98</v>
      </c>
    </row>
    <row r="409" spans="33:37" x14ac:dyDescent="0.4">
      <c r="AG409" s="69" t="s">
        <v>97</v>
      </c>
      <c r="AH409" s="69" t="s">
        <v>94</v>
      </c>
      <c r="AI409" s="69" t="s">
        <v>96</v>
      </c>
      <c r="AJ409" s="69" t="s">
        <v>104</v>
      </c>
      <c r="AK409" s="14" t="s">
        <v>98</v>
      </c>
    </row>
    <row r="410" spans="33:37" x14ac:dyDescent="0.4">
      <c r="AG410" s="69" t="s">
        <v>97</v>
      </c>
      <c r="AH410" s="69" t="s">
        <v>94</v>
      </c>
      <c r="AI410" s="69" t="s">
        <v>96</v>
      </c>
      <c r="AJ410" s="69" t="s">
        <v>101</v>
      </c>
      <c r="AK410" s="14" t="s">
        <v>98</v>
      </c>
    </row>
    <row r="411" spans="33:37" x14ac:dyDescent="0.4">
      <c r="AG411" s="69" t="s">
        <v>97</v>
      </c>
      <c r="AH411" s="69" t="s">
        <v>94</v>
      </c>
      <c r="AI411" s="69" t="s">
        <v>96</v>
      </c>
      <c r="AJ411" s="70" t="s">
        <v>108</v>
      </c>
      <c r="AK411" s="14" t="s">
        <v>98</v>
      </c>
    </row>
    <row r="412" spans="33:37" x14ac:dyDescent="0.4">
      <c r="AG412" s="69" t="s">
        <v>97</v>
      </c>
      <c r="AH412" s="69" t="s">
        <v>94</v>
      </c>
      <c r="AI412" s="69" t="s">
        <v>96</v>
      </c>
      <c r="AJ412" s="69" t="s">
        <v>94</v>
      </c>
      <c r="AK412" s="14" t="s">
        <v>98</v>
      </c>
    </row>
    <row r="413" spans="33:37" x14ac:dyDescent="0.4">
      <c r="AG413" s="69" t="s">
        <v>97</v>
      </c>
      <c r="AH413" s="69" t="s">
        <v>94</v>
      </c>
      <c r="AI413" s="69" t="s">
        <v>104</v>
      </c>
      <c r="AJ413" s="69" t="s">
        <v>97</v>
      </c>
      <c r="AK413" s="14" t="s">
        <v>98</v>
      </c>
    </row>
    <row r="414" spans="33:37" x14ac:dyDescent="0.4">
      <c r="AG414" s="69" t="s">
        <v>97</v>
      </c>
      <c r="AH414" s="69" t="s">
        <v>94</v>
      </c>
      <c r="AI414" s="69" t="s">
        <v>104</v>
      </c>
      <c r="AJ414" s="69" t="s">
        <v>96</v>
      </c>
      <c r="AK414" s="14" t="s">
        <v>98</v>
      </c>
    </row>
    <row r="415" spans="33:37" x14ac:dyDescent="0.4">
      <c r="AG415" s="69" t="s">
        <v>97</v>
      </c>
      <c r="AH415" s="69" t="s">
        <v>94</v>
      </c>
      <c r="AI415" s="69" t="s">
        <v>104</v>
      </c>
      <c r="AJ415" s="69" t="s">
        <v>104</v>
      </c>
      <c r="AK415" s="14" t="s">
        <v>98</v>
      </c>
    </row>
    <row r="416" spans="33:37" x14ac:dyDescent="0.4">
      <c r="AG416" s="69" t="s">
        <v>97</v>
      </c>
      <c r="AH416" s="69" t="s">
        <v>94</v>
      </c>
      <c r="AI416" s="69" t="s">
        <v>104</v>
      </c>
      <c r="AJ416" s="69" t="s">
        <v>101</v>
      </c>
      <c r="AK416" s="14" t="s">
        <v>98</v>
      </c>
    </row>
    <row r="417" spans="33:37" x14ac:dyDescent="0.4">
      <c r="AG417" s="69" t="s">
        <v>97</v>
      </c>
      <c r="AH417" s="69" t="s">
        <v>94</v>
      </c>
      <c r="AI417" s="69" t="s">
        <v>104</v>
      </c>
      <c r="AJ417" s="70" t="s">
        <v>108</v>
      </c>
      <c r="AK417" s="14" t="s">
        <v>98</v>
      </c>
    </row>
    <row r="418" spans="33:37" x14ac:dyDescent="0.4">
      <c r="AG418" s="69" t="s">
        <v>97</v>
      </c>
      <c r="AH418" s="69" t="s">
        <v>94</v>
      </c>
      <c r="AI418" s="69" t="s">
        <v>104</v>
      </c>
      <c r="AJ418" s="69" t="s">
        <v>94</v>
      </c>
      <c r="AK418" s="14" t="s">
        <v>98</v>
      </c>
    </row>
    <row r="419" spans="33:37" x14ac:dyDescent="0.4">
      <c r="AG419" s="69" t="s">
        <v>97</v>
      </c>
      <c r="AH419" s="69" t="s">
        <v>94</v>
      </c>
      <c r="AI419" s="69" t="s">
        <v>101</v>
      </c>
      <c r="AJ419" s="69" t="s">
        <v>97</v>
      </c>
      <c r="AK419" s="14" t="s">
        <v>98</v>
      </c>
    </row>
    <row r="420" spans="33:37" x14ac:dyDescent="0.4">
      <c r="AG420" s="69" t="s">
        <v>97</v>
      </c>
      <c r="AH420" s="69" t="s">
        <v>94</v>
      </c>
      <c r="AI420" s="69" t="s">
        <v>101</v>
      </c>
      <c r="AJ420" s="69" t="s">
        <v>96</v>
      </c>
      <c r="AK420" s="14" t="s">
        <v>98</v>
      </c>
    </row>
    <row r="421" spans="33:37" x14ac:dyDescent="0.4">
      <c r="AG421" s="69" t="s">
        <v>97</v>
      </c>
      <c r="AH421" s="69" t="s">
        <v>94</v>
      </c>
      <c r="AI421" s="69" t="s">
        <v>101</v>
      </c>
      <c r="AJ421" s="69" t="s">
        <v>104</v>
      </c>
      <c r="AK421" s="14" t="s">
        <v>98</v>
      </c>
    </row>
    <row r="422" spans="33:37" x14ac:dyDescent="0.4">
      <c r="AG422" s="69" t="s">
        <v>97</v>
      </c>
      <c r="AH422" s="69" t="s">
        <v>94</v>
      </c>
      <c r="AI422" s="69" t="s">
        <v>101</v>
      </c>
      <c r="AJ422" s="69" t="s">
        <v>101</v>
      </c>
      <c r="AK422" s="14" t="s">
        <v>98</v>
      </c>
    </row>
    <row r="423" spans="33:37" x14ac:dyDescent="0.4">
      <c r="AG423" s="69" t="s">
        <v>97</v>
      </c>
      <c r="AH423" s="69" t="s">
        <v>94</v>
      </c>
      <c r="AI423" s="69" t="s">
        <v>101</v>
      </c>
      <c r="AJ423" s="70" t="s">
        <v>108</v>
      </c>
      <c r="AK423" s="14" t="s">
        <v>98</v>
      </c>
    </row>
    <row r="424" spans="33:37" x14ac:dyDescent="0.4">
      <c r="AG424" s="69" t="s">
        <v>97</v>
      </c>
      <c r="AH424" s="69" t="s">
        <v>94</v>
      </c>
      <c r="AI424" s="69" t="s">
        <v>101</v>
      </c>
      <c r="AJ424" s="69" t="s">
        <v>94</v>
      </c>
      <c r="AK424" s="14" t="s">
        <v>98</v>
      </c>
    </row>
    <row r="425" spans="33:37" x14ac:dyDescent="0.4">
      <c r="AG425" s="69" t="s">
        <v>97</v>
      </c>
      <c r="AH425" s="69" t="s">
        <v>94</v>
      </c>
      <c r="AI425" s="70" t="s">
        <v>108</v>
      </c>
      <c r="AJ425" s="69" t="s">
        <v>97</v>
      </c>
      <c r="AK425" s="14" t="s">
        <v>98</v>
      </c>
    </row>
    <row r="426" spans="33:37" x14ac:dyDescent="0.4">
      <c r="AG426" s="69" t="s">
        <v>97</v>
      </c>
      <c r="AH426" s="69" t="s">
        <v>94</v>
      </c>
      <c r="AI426" s="70" t="s">
        <v>108</v>
      </c>
      <c r="AJ426" s="69" t="s">
        <v>96</v>
      </c>
      <c r="AK426" s="14" t="s">
        <v>98</v>
      </c>
    </row>
    <row r="427" spans="33:37" x14ac:dyDescent="0.4">
      <c r="AG427" s="69" t="s">
        <v>97</v>
      </c>
      <c r="AH427" s="69" t="s">
        <v>94</v>
      </c>
      <c r="AI427" s="70" t="s">
        <v>108</v>
      </c>
      <c r="AJ427" s="69" t="s">
        <v>104</v>
      </c>
      <c r="AK427" s="14" t="s">
        <v>98</v>
      </c>
    </row>
    <row r="428" spans="33:37" x14ac:dyDescent="0.4">
      <c r="AG428" s="69" t="s">
        <v>97</v>
      </c>
      <c r="AH428" s="69" t="s">
        <v>94</v>
      </c>
      <c r="AI428" s="70" t="s">
        <v>108</v>
      </c>
      <c r="AJ428" s="69" t="s">
        <v>101</v>
      </c>
      <c r="AK428" s="14" t="s">
        <v>98</v>
      </c>
    </row>
    <row r="429" spans="33:37" x14ac:dyDescent="0.4">
      <c r="AG429" s="69" t="s">
        <v>97</v>
      </c>
      <c r="AH429" s="69" t="s">
        <v>94</v>
      </c>
      <c r="AI429" s="70" t="s">
        <v>108</v>
      </c>
      <c r="AJ429" s="70" t="s">
        <v>108</v>
      </c>
      <c r="AK429" s="14" t="s">
        <v>98</v>
      </c>
    </row>
    <row r="430" spans="33:37" x14ac:dyDescent="0.4">
      <c r="AG430" s="69" t="s">
        <v>97</v>
      </c>
      <c r="AH430" s="69" t="s">
        <v>94</v>
      </c>
      <c r="AI430" s="70" t="s">
        <v>108</v>
      </c>
      <c r="AJ430" s="69" t="s">
        <v>94</v>
      </c>
      <c r="AK430" s="14" t="s">
        <v>98</v>
      </c>
    </row>
    <row r="431" spans="33:37" x14ac:dyDescent="0.4">
      <c r="AG431" s="69" t="s">
        <v>97</v>
      </c>
      <c r="AH431" s="69" t="s">
        <v>94</v>
      </c>
      <c r="AI431" s="69" t="s">
        <v>94</v>
      </c>
      <c r="AJ431" s="69" t="s">
        <v>97</v>
      </c>
      <c r="AK431" s="14" t="s">
        <v>98</v>
      </c>
    </row>
    <row r="432" spans="33:37" x14ac:dyDescent="0.4">
      <c r="AG432" s="69" t="s">
        <v>97</v>
      </c>
      <c r="AH432" s="69" t="s">
        <v>94</v>
      </c>
      <c r="AI432" s="69" t="s">
        <v>94</v>
      </c>
      <c r="AJ432" s="69" t="s">
        <v>96</v>
      </c>
      <c r="AK432" s="14" t="s">
        <v>98</v>
      </c>
    </row>
    <row r="433" spans="33:37" x14ac:dyDescent="0.4">
      <c r="AG433" s="69" t="s">
        <v>97</v>
      </c>
      <c r="AH433" s="69" t="s">
        <v>94</v>
      </c>
      <c r="AI433" s="69" t="s">
        <v>94</v>
      </c>
      <c r="AJ433" s="69" t="s">
        <v>104</v>
      </c>
      <c r="AK433" s="14" t="s">
        <v>98</v>
      </c>
    </row>
    <row r="434" spans="33:37" x14ac:dyDescent="0.4">
      <c r="AG434" s="69" t="s">
        <v>97</v>
      </c>
      <c r="AH434" s="69" t="s">
        <v>94</v>
      </c>
      <c r="AI434" s="69" t="s">
        <v>94</v>
      </c>
      <c r="AJ434" s="69" t="s">
        <v>101</v>
      </c>
      <c r="AK434" s="14" t="s">
        <v>98</v>
      </c>
    </row>
    <row r="435" spans="33:37" x14ac:dyDescent="0.4">
      <c r="AG435" s="69" t="s">
        <v>97</v>
      </c>
      <c r="AH435" s="69" t="s">
        <v>94</v>
      </c>
      <c r="AI435" s="69" t="s">
        <v>94</v>
      </c>
      <c r="AJ435" s="70" t="s">
        <v>108</v>
      </c>
      <c r="AK435" s="14" t="s">
        <v>98</v>
      </c>
    </row>
    <row r="436" spans="33:37" x14ac:dyDescent="0.4">
      <c r="AG436" s="69" t="s">
        <v>97</v>
      </c>
      <c r="AH436" s="69" t="s">
        <v>94</v>
      </c>
      <c r="AI436" s="69" t="s">
        <v>94</v>
      </c>
      <c r="AJ436" s="69" t="s">
        <v>94</v>
      </c>
      <c r="AK436" s="14" t="s">
        <v>98</v>
      </c>
    </row>
    <row r="437" spans="33:37" x14ac:dyDescent="0.4">
      <c r="AG437" s="14" t="s">
        <v>104</v>
      </c>
      <c r="AH437" s="14" t="s">
        <v>97</v>
      </c>
      <c r="AI437" s="14" t="s">
        <v>97</v>
      </c>
      <c r="AJ437" s="14" t="s">
        <v>97</v>
      </c>
      <c r="AK437" s="14" t="s">
        <v>98</v>
      </c>
    </row>
    <row r="438" spans="33:37" x14ac:dyDescent="0.4">
      <c r="AG438" s="14" t="s">
        <v>104</v>
      </c>
      <c r="AH438" s="14" t="s">
        <v>97</v>
      </c>
      <c r="AI438" s="14" t="s">
        <v>97</v>
      </c>
      <c r="AJ438" s="14" t="s">
        <v>96</v>
      </c>
      <c r="AK438" s="14" t="s">
        <v>98</v>
      </c>
    </row>
    <row r="439" spans="33:37" x14ac:dyDescent="0.4">
      <c r="AG439" s="14" t="s">
        <v>104</v>
      </c>
      <c r="AH439" s="14" t="s">
        <v>97</v>
      </c>
      <c r="AI439" s="14" t="s">
        <v>97</v>
      </c>
      <c r="AJ439" s="14" t="s">
        <v>104</v>
      </c>
      <c r="AK439" s="14" t="s">
        <v>98</v>
      </c>
    </row>
    <row r="440" spans="33:37" x14ac:dyDescent="0.4">
      <c r="AG440" s="14" t="s">
        <v>104</v>
      </c>
      <c r="AH440" s="14" t="s">
        <v>97</v>
      </c>
      <c r="AI440" s="14" t="s">
        <v>97</v>
      </c>
      <c r="AJ440" s="14" t="s">
        <v>101</v>
      </c>
      <c r="AK440" s="14" t="s">
        <v>98</v>
      </c>
    </row>
    <row r="441" spans="33:37" x14ac:dyDescent="0.4">
      <c r="AG441" s="14" t="s">
        <v>104</v>
      </c>
      <c r="AH441" s="14" t="s">
        <v>97</v>
      </c>
      <c r="AI441" s="14" t="s">
        <v>97</v>
      </c>
      <c r="AJ441" s="56" t="s">
        <v>108</v>
      </c>
      <c r="AK441" s="14" t="s">
        <v>98</v>
      </c>
    </row>
    <row r="442" spans="33:37" x14ac:dyDescent="0.4">
      <c r="AG442" s="14" t="s">
        <v>104</v>
      </c>
      <c r="AH442" s="14" t="s">
        <v>97</v>
      </c>
      <c r="AI442" s="14" t="s">
        <v>97</v>
      </c>
      <c r="AJ442" s="14" t="s">
        <v>94</v>
      </c>
      <c r="AK442" s="14" t="s">
        <v>98</v>
      </c>
    </row>
    <row r="443" spans="33:37" x14ac:dyDescent="0.4">
      <c r="AG443" s="14" t="s">
        <v>104</v>
      </c>
      <c r="AH443" s="14" t="s">
        <v>97</v>
      </c>
      <c r="AI443" s="14" t="s">
        <v>96</v>
      </c>
      <c r="AJ443" s="14" t="s">
        <v>97</v>
      </c>
      <c r="AK443" s="14" t="s">
        <v>98</v>
      </c>
    </row>
    <row r="444" spans="33:37" x14ac:dyDescent="0.4">
      <c r="AG444" s="14" t="s">
        <v>104</v>
      </c>
      <c r="AH444" s="14" t="s">
        <v>97</v>
      </c>
      <c r="AI444" s="14" t="s">
        <v>96</v>
      </c>
      <c r="AJ444" s="14" t="s">
        <v>96</v>
      </c>
      <c r="AK444" s="14" t="s">
        <v>98</v>
      </c>
    </row>
    <row r="445" spans="33:37" x14ac:dyDescent="0.4">
      <c r="AG445" s="14" t="s">
        <v>104</v>
      </c>
      <c r="AH445" s="14" t="s">
        <v>97</v>
      </c>
      <c r="AI445" s="14" t="s">
        <v>96</v>
      </c>
      <c r="AJ445" s="14" t="s">
        <v>104</v>
      </c>
      <c r="AK445" s="14" t="s">
        <v>98</v>
      </c>
    </row>
    <row r="446" spans="33:37" x14ac:dyDescent="0.4">
      <c r="AG446" s="14" t="s">
        <v>104</v>
      </c>
      <c r="AH446" s="14" t="s">
        <v>97</v>
      </c>
      <c r="AI446" s="14" t="s">
        <v>96</v>
      </c>
      <c r="AJ446" s="14" t="s">
        <v>101</v>
      </c>
      <c r="AK446" s="14" t="s">
        <v>98</v>
      </c>
    </row>
    <row r="447" spans="33:37" x14ac:dyDescent="0.4">
      <c r="AG447" s="14" t="s">
        <v>104</v>
      </c>
      <c r="AH447" s="14" t="s">
        <v>97</v>
      </c>
      <c r="AI447" s="14" t="s">
        <v>96</v>
      </c>
      <c r="AJ447" s="56" t="s">
        <v>108</v>
      </c>
      <c r="AK447" s="14" t="s">
        <v>98</v>
      </c>
    </row>
    <row r="448" spans="33:37" x14ac:dyDescent="0.4">
      <c r="AG448" s="14" t="s">
        <v>104</v>
      </c>
      <c r="AH448" s="14" t="s">
        <v>97</v>
      </c>
      <c r="AI448" s="14" t="s">
        <v>96</v>
      </c>
      <c r="AJ448" s="14" t="s">
        <v>94</v>
      </c>
      <c r="AK448" s="14" t="s">
        <v>98</v>
      </c>
    </row>
    <row r="449" spans="33:37" x14ac:dyDescent="0.4">
      <c r="AG449" s="14" t="s">
        <v>104</v>
      </c>
      <c r="AH449" s="14" t="s">
        <v>97</v>
      </c>
      <c r="AI449" s="14" t="s">
        <v>104</v>
      </c>
      <c r="AJ449" s="14" t="s">
        <v>97</v>
      </c>
      <c r="AK449" s="14" t="s">
        <v>98</v>
      </c>
    </row>
    <row r="450" spans="33:37" x14ac:dyDescent="0.4">
      <c r="AG450" s="14" t="s">
        <v>104</v>
      </c>
      <c r="AH450" s="14" t="s">
        <v>97</v>
      </c>
      <c r="AI450" s="14" t="s">
        <v>104</v>
      </c>
      <c r="AJ450" s="14" t="s">
        <v>96</v>
      </c>
      <c r="AK450" s="14" t="s">
        <v>98</v>
      </c>
    </row>
    <row r="451" spans="33:37" x14ac:dyDescent="0.4">
      <c r="AG451" s="14" t="s">
        <v>104</v>
      </c>
      <c r="AH451" s="14" t="s">
        <v>97</v>
      </c>
      <c r="AI451" s="14" t="s">
        <v>104</v>
      </c>
      <c r="AJ451" s="14" t="s">
        <v>104</v>
      </c>
      <c r="AK451" s="14" t="s">
        <v>98</v>
      </c>
    </row>
    <row r="452" spans="33:37" x14ac:dyDescent="0.4">
      <c r="AG452" s="14" t="s">
        <v>104</v>
      </c>
      <c r="AH452" s="14" t="s">
        <v>97</v>
      </c>
      <c r="AI452" s="14" t="s">
        <v>104</v>
      </c>
      <c r="AJ452" s="14" t="s">
        <v>101</v>
      </c>
      <c r="AK452" s="14" t="s">
        <v>98</v>
      </c>
    </row>
    <row r="453" spans="33:37" x14ac:dyDescent="0.4">
      <c r="AG453" s="14" t="s">
        <v>104</v>
      </c>
      <c r="AH453" s="14" t="s">
        <v>97</v>
      </c>
      <c r="AI453" s="14" t="s">
        <v>104</v>
      </c>
      <c r="AJ453" s="56" t="s">
        <v>108</v>
      </c>
      <c r="AK453" s="14" t="s">
        <v>98</v>
      </c>
    </row>
    <row r="454" spans="33:37" x14ac:dyDescent="0.4">
      <c r="AG454" s="14" t="s">
        <v>104</v>
      </c>
      <c r="AH454" s="14" t="s">
        <v>97</v>
      </c>
      <c r="AI454" s="14" t="s">
        <v>104</v>
      </c>
      <c r="AJ454" s="14" t="s">
        <v>94</v>
      </c>
      <c r="AK454" s="14" t="s">
        <v>98</v>
      </c>
    </row>
    <row r="455" spans="33:37" x14ac:dyDescent="0.4">
      <c r="AG455" s="14" t="s">
        <v>104</v>
      </c>
      <c r="AH455" s="14" t="s">
        <v>97</v>
      </c>
      <c r="AI455" s="14" t="s">
        <v>101</v>
      </c>
      <c r="AJ455" s="14" t="s">
        <v>97</v>
      </c>
      <c r="AK455" s="14" t="s">
        <v>98</v>
      </c>
    </row>
    <row r="456" spans="33:37" x14ac:dyDescent="0.4">
      <c r="AG456" s="14" t="s">
        <v>104</v>
      </c>
      <c r="AH456" s="14" t="s">
        <v>97</v>
      </c>
      <c r="AI456" s="14" t="s">
        <v>101</v>
      </c>
      <c r="AJ456" s="14" t="s">
        <v>96</v>
      </c>
      <c r="AK456" s="14" t="s">
        <v>98</v>
      </c>
    </row>
    <row r="457" spans="33:37" x14ac:dyDescent="0.4">
      <c r="AG457" s="14" t="s">
        <v>104</v>
      </c>
      <c r="AH457" s="14" t="s">
        <v>97</v>
      </c>
      <c r="AI457" s="14" t="s">
        <v>101</v>
      </c>
      <c r="AJ457" s="14" t="s">
        <v>104</v>
      </c>
      <c r="AK457" s="14" t="s">
        <v>98</v>
      </c>
    </row>
    <row r="458" spans="33:37" x14ac:dyDescent="0.4">
      <c r="AG458" s="14" t="s">
        <v>104</v>
      </c>
      <c r="AH458" s="14" t="s">
        <v>97</v>
      </c>
      <c r="AI458" s="14" t="s">
        <v>101</v>
      </c>
      <c r="AJ458" s="14" t="s">
        <v>101</v>
      </c>
      <c r="AK458" s="14" t="s">
        <v>98</v>
      </c>
    </row>
    <row r="459" spans="33:37" x14ac:dyDescent="0.4">
      <c r="AG459" s="14" t="s">
        <v>104</v>
      </c>
      <c r="AH459" s="14" t="s">
        <v>97</v>
      </c>
      <c r="AI459" s="14" t="s">
        <v>101</v>
      </c>
      <c r="AJ459" s="56" t="s">
        <v>108</v>
      </c>
      <c r="AK459" s="14" t="s">
        <v>98</v>
      </c>
    </row>
    <row r="460" spans="33:37" x14ac:dyDescent="0.4">
      <c r="AG460" s="14" t="s">
        <v>104</v>
      </c>
      <c r="AH460" s="14" t="s">
        <v>97</v>
      </c>
      <c r="AI460" s="14" t="s">
        <v>101</v>
      </c>
      <c r="AJ460" s="14" t="s">
        <v>94</v>
      </c>
      <c r="AK460" s="14" t="s">
        <v>98</v>
      </c>
    </row>
    <row r="461" spans="33:37" x14ac:dyDescent="0.4">
      <c r="AG461" s="14" t="s">
        <v>104</v>
      </c>
      <c r="AH461" s="14" t="s">
        <v>97</v>
      </c>
      <c r="AI461" s="56" t="s">
        <v>108</v>
      </c>
      <c r="AJ461" s="14" t="s">
        <v>97</v>
      </c>
      <c r="AK461" s="14" t="s">
        <v>98</v>
      </c>
    </row>
    <row r="462" spans="33:37" x14ac:dyDescent="0.4">
      <c r="AG462" s="14" t="s">
        <v>104</v>
      </c>
      <c r="AH462" s="14" t="s">
        <v>97</v>
      </c>
      <c r="AI462" s="56" t="s">
        <v>108</v>
      </c>
      <c r="AJ462" s="14" t="s">
        <v>96</v>
      </c>
      <c r="AK462" s="14" t="s">
        <v>98</v>
      </c>
    </row>
    <row r="463" spans="33:37" x14ac:dyDescent="0.4">
      <c r="AG463" s="14" t="s">
        <v>104</v>
      </c>
      <c r="AH463" s="14" t="s">
        <v>97</v>
      </c>
      <c r="AI463" s="56" t="s">
        <v>108</v>
      </c>
      <c r="AJ463" s="14" t="s">
        <v>104</v>
      </c>
      <c r="AK463" s="14" t="s">
        <v>98</v>
      </c>
    </row>
    <row r="464" spans="33:37" x14ac:dyDescent="0.4">
      <c r="AG464" s="14" t="s">
        <v>104</v>
      </c>
      <c r="AH464" s="14" t="s">
        <v>97</v>
      </c>
      <c r="AI464" s="56" t="s">
        <v>108</v>
      </c>
      <c r="AJ464" s="14" t="s">
        <v>101</v>
      </c>
      <c r="AK464" s="14" t="s">
        <v>98</v>
      </c>
    </row>
    <row r="465" spans="33:37" x14ac:dyDescent="0.4">
      <c r="AG465" s="14" t="s">
        <v>104</v>
      </c>
      <c r="AH465" s="14" t="s">
        <v>97</v>
      </c>
      <c r="AI465" s="56" t="s">
        <v>108</v>
      </c>
      <c r="AJ465" s="56" t="s">
        <v>108</v>
      </c>
      <c r="AK465" s="14" t="s">
        <v>98</v>
      </c>
    </row>
    <row r="466" spans="33:37" x14ac:dyDescent="0.4">
      <c r="AG466" s="14" t="s">
        <v>104</v>
      </c>
      <c r="AH466" s="14" t="s">
        <v>97</v>
      </c>
      <c r="AI466" s="56" t="s">
        <v>108</v>
      </c>
      <c r="AJ466" s="14" t="s">
        <v>94</v>
      </c>
      <c r="AK466" s="14" t="s">
        <v>98</v>
      </c>
    </row>
    <row r="467" spans="33:37" x14ac:dyDescent="0.4">
      <c r="AG467" s="14" t="s">
        <v>104</v>
      </c>
      <c r="AH467" s="14" t="s">
        <v>97</v>
      </c>
      <c r="AI467" s="14" t="s">
        <v>94</v>
      </c>
      <c r="AJ467" s="14" t="s">
        <v>97</v>
      </c>
      <c r="AK467" s="14" t="s">
        <v>98</v>
      </c>
    </row>
    <row r="468" spans="33:37" x14ac:dyDescent="0.4">
      <c r="AG468" s="14" t="s">
        <v>104</v>
      </c>
      <c r="AH468" s="14" t="s">
        <v>97</v>
      </c>
      <c r="AI468" s="14" t="s">
        <v>94</v>
      </c>
      <c r="AJ468" s="14" t="s">
        <v>96</v>
      </c>
      <c r="AK468" s="14" t="s">
        <v>98</v>
      </c>
    </row>
    <row r="469" spans="33:37" x14ac:dyDescent="0.4">
      <c r="AG469" s="14" t="s">
        <v>104</v>
      </c>
      <c r="AH469" s="14" t="s">
        <v>97</v>
      </c>
      <c r="AI469" s="14" t="s">
        <v>94</v>
      </c>
      <c r="AJ469" s="14" t="s">
        <v>104</v>
      </c>
      <c r="AK469" s="14" t="s">
        <v>98</v>
      </c>
    </row>
    <row r="470" spans="33:37" x14ac:dyDescent="0.4">
      <c r="AG470" s="14" t="s">
        <v>104</v>
      </c>
      <c r="AH470" s="14" t="s">
        <v>97</v>
      </c>
      <c r="AI470" s="14" t="s">
        <v>94</v>
      </c>
      <c r="AJ470" s="14" t="s">
        <v>101</v>
      </c>
      <c r="AK470" s="14" t="s">
        <v>98</v>
      </c>
    </row>
    <row r="471" spans="33:37" x14ac:dyDescent="0.4">
      <c r="AG471" s="14" t="s">
        <v>104</v>
      </c>
      <c r="AH471" s="14" t="s">
        <v>97</v>
      </c>
      <c r="AI471" s="14" t="s">
        <v>94</v>
      </c>
      <c r="AJ471" s="56" t="s">
        <v>108</v>
      </c>
      <c r="AK471" s="14" t="s">
        <v>98</v>
      </c>
    </row>
    <row r="472" spans="33:37" x14ac:dyDescent="0.4">
      <c r="AG472" s="14" t="s">
        <v>104</v>
      </c>
      <c r="AH472" s="14" t="s">
        <v>97</v>
      </c>
      <c r="AI472" s="14" t="s">
        <v>94</v>
      </c>
      <c r="AJ472" s="14" t="s">
        <v>94</v>
      </c>
      <c r="AK472" s="14" t="s">
        <v>98</v>
      </c>
    </row>
    <row r="473" spans="33:37" x14ac:dyDescent="0.4">
      <c r="AG473" s="14" t="s">
        <v>104</v>
      </c>
      <c r="AH473" s="14" t="s">
        <v>96</v>
      </c>
      <c r="AI473" s="14" t="s">
        <v>97</v>
      </c>
      <c r="AJ473" s="14" t="s">
        <v>97</v>
      </c>
      <c r="AK473" s="14" t="s">
        <v>98</v>
      </c>
    </row>
    <row r="474" spans="33:37" x14ac:dyDescent="0.4">
      <c r="AG474" s="14" t="s">
        <v>104</v>
      </c>
      <c r="AH474" s="14" t="s">
        <v>96</v>
      </c>
      <c r="AI474" s="14" t="s">
        <v>97</v>
      </c>
      <c r="AJ474" s="14" t="s">
        <v>96</v>
      </c>
      <c r="AK474" s="14" t="s">
        <v>98</v>
      </c>
    </row>
    <row r="475" spans="33:37" x14ac:dyDescent="0.4">
      <c r="AG475" s="14" t="s">
        <v>104</v>
      </c>
      <c r="AH475" s="14" t="s">
        <v>96</v>
      </c>
      <c r="AI475" s="14" t="s">
        <v>97</v>
      </c>
      <c r="AJ475" s="14" t="s">
        <v>104</v>
      </c>
      <c r="AK475" s="14" t="s">
        <v>98</v>
      </c>
    </row>
    <row r="476" spans="33:37" x14ac:dyDescent="0.4">
      <c r="AG476" s="14" t="s">
        <v>104</v>
      </c>
      <c r="AH476" s="14" t="s">
        <v>96</v>
      </c>
      <c r="AI476" s="14" t="s">
        <v>97</v>
      </c>
      <c r="AJ476" s="14" t="s">
        <v>101</v>
      </c>
      <c r="AK476" s="14" t="s">
        <v>98</v>
      </c>
    </row>
    <row r="477" spans="33:37" x14ac:dyDescent="0.4">
      <c r="AG477" s="14" t="s">
        <v>104</v>
      </c>
      <c r="AH477" s="14" t="s">
        <v>96</v>
      </c>
      <c r="AI477" s="14" t="s">
        <v>97</v>
      </c>
      <c r="AJ477" s="56" t="s">
        <v>108</v>
      </c>
      <c r="AK477" s="14" t="s">
        <v>98</v>
      </c>
    </row>
    <row r="478" spans="33:37" x14ac:dyDescent="0.4">
      <c r="AG478" s="14" t="s">
        <v>104</v>
      </c>
      <c r="AH478" s="14" t="s">
        <v>96</v>
      </c>
      <c r="AI478" s="14" t="s">
        <v>97</v>
      </c>
      <c r="AJ478" s="14" t="s">
        <v>94</v>
      </c>
      <c r="AK478" s="14" t="s">
        <v>98</v>
      </c>
    </row>
    <row r="479" spans="33:37" x14ac:dyDescent="0.4">
      <c r="AG479" s="14" t="s">
        <v>104</v>
      </c>
      <c r="AH479" s="14" t="s">
        <v>96</v>
      </c>
      <c r="AI479" s="14" t="s">
        <v>96</v>
      </c>
      <c r="AJ479" s="14" t="s">
        <v>97</v>
      </c>
      <c r="AK479" s="14" t="s">
        <v>98</v>
      </c>
    </row>
    <row r="480" spans="33:37" x14ac:dyDescent="0.4">
      <c r="AG480" s="14" t="s">
        <v>104</v>
      </c>
      <c r="AH480" s="14" t="s">
        <v>96</v>
      </c>
      <c r="AI480" s="14" t="s">
        <v>96</v>
      </c>
      <c r="AJ480" s="14" t="s">
        <v>96</v>
      </c>
      <c r="AK480" s="14" t="s">
        <v>98</v>
      </c>
    </row>
    <row r="481" spans="33:37" x14ac:dyDescent="0.4">
      <c r="AG481" s="14" t="s">
        <v>104</v>
      </c>
      <c r="AH481" s="14" t="s">
        <v>96</v>
      </c>
      <c r="AI481" s="14" t="s">
        <v>96</v>
      </c>
      <c r="AJ481" s="14" t="s">
        <v>104</v>
      </c>
      <c r="AK481" s="14" t="s">
        <v>98</v>
      </c>
    </row>
    <row r="482" spans="33:37" x14ac:dyDescent="0.4">
      <c r="AG482" s="14" t="s">
        <v>104</v>
      </c>
      <c r="AH482" s="14" t="s">
        <v>96</v>
      </c>
      <c r="AI482" s="14" t="s">
        <v>96</v>
      </c>
      <c r="AJ482" s="14" t="s">
        <v>101</v>
      </c>
      <c r="AK482" s="14" t="s">
        <v>98</v>
      </c>
    </row>
    <row r="483" spans="33:37" x14ac:dyDescent="0.4">
      <c r="AG483" s="14" t="s">
        <v>104</v>
      </c>
      <c r="AH483" s="14" t="s">
        <v>96</v>
      </c>
      <c r="AI483" s="14" t="s">
        <v>96</v>
      </c>
      <c r="AJ483" s="56" t="s">
        <v>108</v>
      </c>
      <c r="AK483" s="14" t="s">
        <v>98</v>
      </c>
    </row>
    <row r="484" spans="33:37" x14ac:dyDescent="0.4">
      <c r="AG484" s="14" t="s">
        <v>104</v>
      </c>
      <c r="AH484" s="14" t="s">
        <v>96</v>
      </c>
      <c r="AI484" s="14" t="s">
        <v>96</v>
      </c>
      <c r="AJ484" s="14" t="s">
        <v>94</v>
      </c>
      <c r="AK484" s="14" t="s">
        <v>98</v>
      </c>
    </row>
    <row r="485" spans="33:37" x14ac:dyDescent="0.4">
      <c r="AG485" s="14" t="s">
        <v>104</v>
      </c>
      <c r="AH485" s="14" t="s">
        <v>96</v>
      </c>
      <c r="AI485" s="14" t="s">
        <v>104</v>
      </c>
      <c r="AJ485" s="14" t="s">
        <v>97</v>
      </c>
      <c r="AK485" s="14" t="s">
        <v>98</v>
      </c>
    </row>
    <row r="486" spans="33:37" x14ac:dyDescent="0.4">
      <c r="AG486" s="14" t="s">
        <v>104</v>
      </c>
      <c r="AH486" s="14" t="s">
        <v>96</v>
      </c>
      <c r="AI486" s="14" t="s">
        <v>104</v>
      </c>
      <c r="AJ486" s="14" t="s">
        <v>96</v>
      </c>
      <c r="AK486" s="14" t="s">
        <v>98</v>
      </c>
    </row>
    <row r="487" spans="33:37" x14ac:dyDescent="0.4">
      <c r="AG487" s="14" t="s">
        <v>104</v>
      </c>
      <c r="AH487" s="14" t="s">
        <v>96</v>
      </c>
      <c r="AI487" s="14" t="s">
        <v>104</v>
      </c>
      <c r="AJ487" s="14" t="s">
        <v>104</v>
      </c>
      <c r="AK487" s="14" t="s">
        <v>98</v>
      </c>
    </row>
    <row r="488" spans="33:37" x14ac:dyDescent="0.4">
      <c r="AG488" s="14" t="s">
        <v>104</v>
      </c>
      <c r="AH488" s="14" t="s">
        <v>96</v>
      </c>
      <c r="AI488" s="14" t="s">
        <v>104</v>
      </c>
      <c r="AJ488" s="14" t="s">
        <v>101</v>
      </c>
      <c r="AK488" s="14" t="s">
        <v>98</v>
      </c>
    </row>
    <row r="489" spans="33:37" x14ac:dyDescent="0.4">
      <c r="AG489" s="14" t="s">
        <v>104</v>
      </c>
      <c r="AH489" s="14" t="s">
        <v>96</v>
      </c>
      <c r="AI489" s="14" t="s">
        <v>104</v>
      </c>
      <c r="AJ489" s="56" t="s">
        <v>108</v>
      </c>
      <c r="AK489" s="14" t="s">
        <v>98</v>
      </c>
    </row>
    <row r="490" spans="33:37" x14ac:dyDescent="0.4">
      <c r="AG490" s="14" t="s">
        <v>104</v>
      </c>
      <c r="AH490" s="14" t="s">
        <v>96</v>
      </c>
      <c r="AI490" s="14" t="s">
        <v>104</v>
      </c>
      <c r="AJ490" s="14" t="s">
        <v>94</v>
      </c>
      <c r="AK490" s="14" t="s">
        <v>98</v>
      </c>
    </row>
    <row r="491" spans="33:37" x14ac:dyDescent="0.4">
      <c r="AG491" s="14" t="s">
        <v>104</v>
      </c>
      <c r="AH491" s="14" t="s">
        <v>96</v>
      </c>
      <c r="AI491" s="14" t="s">
        <v>101</v>
      </c>
      <c r="AJ491" s="14" t="s">
        <v>97</v>
      </c>
      <c r="AK491" s="14" t="s">
        <v>98</v>
      </c>
    </row>
    <row r="492" spans="33:37" x14ac:dyDescent="0.4">
      <c r="AG492" s="14" t="s">
        <v>104</v>
      </c>
      <c r="AH492" s="14" t="s">
        <v>96</v>
      </c>
      <c r="AI492" s="14" t="s">
        <v>101</v>
      </c>
      <c r="AJ492" s="14" t="s">
        <v>96</v>
      </c>
      <c r="AK492" s="14" t="s">
        <v>98</v>
      </c>
    </row>
    <row r="493" spans="33:37" x14ac:dyDescent="0.4">
      <c r="AG493" s="14" t="s">
        <v>104</v>
      </c>
      <c r="AH493" s="14" t="s">
        <v>96</v>
      </c>
      <c r="AI493" s="14" t="s">
        <v>101</v>
      </c>
      <c r="AJ493" s="14" t="s">
        <v>104</v>
      </c>
      <c r="AK493" s="14" t="s">
        <v>98</v>
      </c>
    </row>
    <row r="494" spans="33:37" x14ac:dyDescent="0.4">
      <c r="AG494" s="14" t="s">
        <v>104</v>
      </c>
      <c r="AH494" s="14" t="s">
        <v>96</v>
      </c>
      <c r="AI494" s="14" t="s">
        <v>101</v>
      </c>
      <c r="AJ494" s="14" t="s">
        <v>101</v>
      </c>
      <c r="AK494" s="14" t="s">
        <v>98</v>
      </c>
    </row>
    <row r="495" spans="33:37" x14ac:dyDescent="0.4">
      <c r="AG495" s="14" t="s">
        <v>104</v>
      </c>
      <c r="AH495" s="14" t="s">
        <v>96</v>
      </c>
      <c r="AI495" s="14" t="s">
        <v>101</v>
      </c>
      <c r="AJ495" s="56" t="s">
        <v>108</v>
      </c>
      <c r="AK495" s="14" t="s">
        <v>98</v>
      </c>
    </row>
    <row r="496" spans="33:37" x14ac:dyDescent="0.4">
      <c r="AG496" s="14" t="s">
        <v>104</v>
      </c>
      <c r="AH496" s="14" t="s">
        <v>96</v>
      </c>
      <c r="AI496" s="14" t="s">
        <v>101</v>
      </c>
      <c r="AJ496" s="14" t="s">
        <v>94</v>
      </c>
      <c r="AK496" s="14" t="s">
        <v>98</v>
      </c>
    </row>
    <row r="497" spans="33:37" x14ac:dyDescent="0.4">
      <c r="AG497" s="14" t="s">
        <v>104</v>
      </c>
      <c r="AH497" s="14" t="s">
        <v>96</v>
      </c>
      <c r="AI497" s="56" t="s">
        <v>108</v>
      </c>
      <c r="AJ497" s="14" t="s">
        <v>97</v>
      </c>
      <c r="AK497" s="14" t="s">
        <v>98</v>
      </c>
    </row>
    <row r="498" spans="33:37" x14ac:dyDescent="0.4">
      <c r="AG498" s="14" t="s">
        <v>104</v>
      </c>
      <c r="AH498" s="14" t="s">
        <v>96</v>
      </c>
      <c r="AI498" s="56" t="s">
        <v>108</v>
      </c>
      <c r="AJ498" s="14" t="s">
        <v>96</v>
      </c>
      <c r="AK498" s="14" t="s">
        <v>98</v>
      </c>
    </row>
    <row r="499" spans="33:37" x14ac:dyDescent="0.4">
      <c r="AG499" s="14" t="s">
        <v>104</v>
      </c>
      <c r="AH499" s="14" t="s">
        <v>96</v>
      </c>
      <c r="AI499" s="56" t="s">
        <v>108</v>
      </c>
      <c r="AJ499" s="14" t="s">
        <v>104</v>
      </c>
      <c r="AK499" s="14" t="s">
        <v>98</v>
      </c>
    </row>
    <row r="500" spans="33:37" x14ac:dyDescent="0.4">
      <c r="AG500" s="14" t="s">
        <v>104</v>
      </c>
      <c r="AH500" s="14" t="s">
        <v>96</v>
      </c>
      <c r="AI500" s="56" t="s">
        <v>108</v>
      </c>
      <c r="AJ500" s="14" t="s">
        <v>101</v>
      </c>
      <c r="AK500" s="14" t="s">
        <v>98</v>
      </c>
    </row>
    <row r="501" spans="33:37" x14ac:dyDescent="0.4">
      <c r="AG501" s="14" t="s">
        <v>104</v>
      </c>
      <c r="AH501" s="14" t="s">
        <v>96</v>
      </c>
      <c r="AI501" s="56" t="s">
        <v>108</v>
      </c>
      <c r="AJ501" s="56" t="s">
        <v>108</v>
      </c>
      <c r="AK501" s="14" t="s">
        <v>98</v>
      </c>
    </row>
    <row r="502" spans="33:37" x14ac:dyDescent="0.4">
      <c r="AG502" s="14" t="s">
        <v>104</v>
      </c>
      <c r="AH502" s="14" t="s">
        <v>96</v>
      </c>
      <c r="AI502" s="56" t="s">
        <v>108</v>
      </c>
      <c r="AJ502" s="14" t="s">
        <v>94</v>
      </c>
      <c r="AK502" s="14" t="s">
        <v>98</v>
      </c>
    </row>
    <row r="503" spans="33:37" x14ac:dyDescent="0.4">
      <c r="AG503" s="14" t="s">
        <v>104</v>
      </c>
      <c r="AH503" s="14" t="s">
        <v>96</v>
      </c>
      <c r="AI503" s="14" t="s">
        <v>94</v>
      </c>
      <c r="AJ503" s="14" t="s">
        <v>97</v>
      </c>
      <c r="AK503" s="14" t="s">
        <v>98</v>
      </c>
    </row>
    <row r="504" spans="33:37" x14ac:dyDescent="0.4">
      <c r="AG504" s="14" t="s">
        <v>104</v>
      </c>
      <c r="AH504" s="14" t="s">
        <v>96</v>
      </c>
      <c r="AI504" s="14" t="s">
        <v>94</v>
      </c>
      <c r="AJ504" s="14" t="s">
        <v>96</v>
      </c>
      <c r="AK504" s="14" t="s">
        <v>98</v>
      </c>
    </row>
    <row r="505" spans="33:37" x14ac:dyDescent="0.4">
      <c r="AG505" s="14" t="s">
        <v>104</v>
      </c>
      <c r="AH505" s="14" t="s">
        <v>96</v>
      </c>
      <c r="AI505" s="14" t="s">
        <v>94</v>
      </c>
      <c r="AJ505" s="14" t="s">
        <v>104</v>
      </c>
      <c r="AK505" s="14" t="s">
        <v>98</v>
      </c>
    </row>
    <row r="506" spans="33:37" x14ac:dyDescent="0.4">
      <c r="AG506" s="14" t="s">
        <v>104</v>
      </c>
      <c r="AH506" s="14" t="s">
        <v>96</v>
      </c>
      <c r="AI506" s="14" t="s">
        <v>94</v>
      </c>
      <c r="AJ506" s="14" t="s">
        <v>101</v>
      </c>
      <c r="AK506" s="14" t="s">
        <v>98</v>
      </c>
    </row>
    <row r="507" spans="33:37" x14ac:dyDescent="0.4">
      <c r="AG507" s="14" t="s">
        <v>104</v>
      </c>
      <c r="AH507" s="14" t="s">
        <v>96</v>
      </c>
      <c r="AI507" s="14" t="s">
        <v>94</v>
      </c>
      <c r="AJ507" s="56" t="s">
        <v>108</v>
      </c>
      <c r="AK507" s="14" t="s">
        <v>98</v>
      </c>
    </row>
    <row r="508" spans="33:37" x14ac:dyDescent="0.4">
      <c r="AG508" s="14" t="s">
        <v>104</v>
      </c>
      <c r="AH508" s="14" t="s">
        <v>96</v>
      </c>
      <c r="AI508" s="14" t="s">
        <v>94</v>
      </c>
      <c r="AJ508" s="14" t="s">
        <v>94</v>
      </c>
      <c r="AK508" s="14" t="s">
        <v>98</v>
      </c>
    </row>
    <row r="509" spans="33:37" x14ac:dyDescent="0.4">
      <c r="AG509" s="14" t="s">
        <v>104</v>
      </c>
      <c r="AH509" s="14" t="s">
        <v>104</v>
      </c>
      <c r="AI509" s="14" t="s">
        <v>97</v>
      </c>
      <c r="AJ509" s="14" t="s">
        <v>97</v>
      </c>
      <c r="AK509" s="14" t="s">
        <v>98</v>
      </c>
    </row>
    <row r="510" spans="33:37" x14ac:dyDescent="0.4">
      <c r="AG510" s="14" t="s">
        <v>104</v>
      </c>
      <c r="AH510" s="14" t="s">
        <v>104</v>
      </c>
      <c r="AI510" s="14" t="s">
        <v>97</v>
      </c>
      <c r="AJ510" s="14" t="s">
        <v>96</v>
      </c>
      <c r="AK510" s="14" t="s">
        <v>98</v>
      </c>
    </row>
    <row r="511" spans="33:37" x14ac:dyDescent="0.4">
      <c r="AG511" s="14" t="s">
        <v>104</v>
      </c>
      <c r="AH511" s="14" t="s">
        <v>104</v>
      </c>
      <c r="AI511" s="14" t="s">
        <v>97</v>
      </c>
      <c r="AJ511" s="14" t="s">
        <v>104</v>
      </c>
      <c r="AK511" s="14" t="s">
        <v>98</v>
      </c>
    </row>
    <row r="512" spans="33:37" x14ac:dyDescent="0.4">
      <c r="AG512" s="14" t="s">
        <v>104</v>
      </c>
      <c r="AH512" s="14" t="s">
        <v>104</v>
      </c>
      <c r="AI512" s="14" t="s">
        <v>97</v>
      </c>
      <c r="AJ512" s="14" t="s">
        <v>101</v>
      </c>
      <c r="AK512" s="14" t="s">
        <v>98</v>
      </c>
    </row>
    <row r="513" spans="33:37" x14ac:dyDescent="0.4">
      <c r="AG513" s="14" t="s">
        <v>104</v>
      </c>
      <c r="AH513" s="14" t="s">
        <v>104</v>
      </c>
      <c r="AI513" s="14" t="s">
        <v>97</v>
      </c>
      <c r="AJ513" s="56" t="s">
        <v>108</v>
      </c>
      <c r="AK513" s="14" t="s">
        <v>98</v>
      </c>
    </row>
    <row r="514" spans="33:37" x14ac:dyDescent="0.4">
      <c r="AG514" s="14" t="s">
        <v>104</v>
      </c>
      <c r="AH514" s="14" t="s">
        <v>104</v>
      </c>
      <c r="AI514" s="14" t="s">
        <v>97</v>
      </c>
      <c r="AJ514" s="14" t="s">
        <v>94</v>
      </c>
      <c r="AK514" s="14" t="s">
        <v>98</v>
      </c>
    </row>
    <row r="515" spans="33:37" x14ac:dyDescent="0.4">
      <c r="AG515" s="14" t="s">
        <v>104</v>
      </c>
      <c r="AH515" s="14" t="s">
        <v>104</v>
      </c>
      <c r="AI515" s="14" t="s">
        <v>96</v>
      </c>
      <c r="AJ515" s="14" t="s">
        <v>97</v>
      </c>
      <c r="AK515" s="14" t="s">
        <v>98</v>
      </c>
    </row>
    <row r="516" spans="33:37" x14ac:dyDescent="0.4">
      <c r="AG516" s="14" t="s">
        <v>104</v>
      </c>
      <c r="AH516" s="14" t="s">
        <v>104</v>
      </c>
      <c r="AI516" s="14" t="s">
        <v>96</v>
      </c>
      <c r="AJ516" s="14" t="s">
        <v>96</v>
      </c>
      <c r="AK516" s="14" t="s">
        <v>98</v>
      </c>
    </row>
    <row r="517" spans="33:37" x14ac:dyDescent="0.4">
      <c r="AG517" s="14" t="s">
        <v>104</v>
      </c>
      <c r="AH517" s="14" t="s">
        <v>104</v>
      </c>
      <c r="AI517" s="14" t="s">
        <v>96</v>
      </c>
      <c r="AJ517" s="14" t="s">
        <v>104</v>
      </c>
      <c r="AK517" s="14" t="s">
        <v>98</v>
      </c>
    </row>
    <row r="518" spans="33:37" x14ac:dyDescent="0.4">
      <c r="AG518" s="14" t="s">
        <v>104</v>
      </c>
      <c r="AH518" s="14" t="s">
        <v>104</v>
      </c>
      <c r="AI518" s="14" t="s">
        <v>96</v>
      </c>
      <c r="AJ518" s="14" t="s">
        <v>101</v>
      </c>
      <c r="AK518" s="14" t="s">
        <v>98</v>
      </c>
    </row>
    <row r="519" spans="33:37" x14ac:dyDescent="0.4">
      <c r="AG519" s="14" t="s">
        <v>104</v>
      </c>
      <c r="AH519" s="14" t="s">
        <v>104</v>
      </c>
      <c r="AI519" s="14" t="s">
        <v>96</v>
      </c>
      <c r="AJ519" s="56" t="s">
        <v>108</v>
      </c>
      <c r="AK519" s="14" t="s">
        <v>98</v>
      </c>
    </row>
    <row r="520" spans="33:37" x14ac:dyDescent="0.4">
      <c r="AG520" s="14" t="s">
        <v>104</v>
      </c>
      <c r="AH520" s="14" t="s">
        <v>104</v>
      </c>
      <c r="AI520" s="14" t="s">
        <v>96</v>
      </c>
      <c r="AJ520" s="14" t="s">
        <v>94</v>
      </c>
      <c r="AK520" s="14" t="s">
        <v>98</v>
      </c>
    </row>
    <row r="521" spans="33:37" x14ac:dyDescent="0.4">
      <c r="AG521" s="14" t="s">
        <v>104</v>
      </c>
      <c r="AH521" s="14" t="s">
        <v>104</v>
      </c>
      <c r="AI521" s="14" t="s">
        <v>104</v>
      </c>
      <c r="AJ521" s="14" t="s">
        <v>97</v>
      </c>
      <c r="AK521" s="14" t="s">
        <v>98</v>
      </c>
    </row>
    <row r="522" spans="33:37" x14ac:dyDescent="0.4">
      <c r="AG522" s="14" t="s">
        <v>104</v>
      </c>
      <c r="AH522" s="14" t="s">
        <v>104</v>
      </c>
      <c r="AI522" s="14" t="s">
        <v>104</v>
      </c>
      <c r="AJ522" s="14" t="s">
        <v>96</v>
      </c>
      <c r="AK522" s="14" t="s">
        <v>98</v>
      </c>
    </row>
    <row r="523" spans="33:37" x14ac:dyDescent="0.4">
      <c r="AG523" s="14" t="s">
        <v>104</v>
      </c>
      <c r="AH523" s="14" t="s">
        <v>104</v>
      </c>
      <c r="AI523" s="14" t="s">
        <v>104</v>
      </c>
      <c r="AJ523" s="14" t="s">
        <v>104</v>
      </c>
      <c r="AK523" s="14" t="s">
        <v>129</v>
      </c>
    </row>
    <row r="524" spans="33:37" x14ac:dyDescent="0.4">
      <c r="AG524" s="14" t="s">
        <v>104</v>
      </c>
      <c r="AH524" s="14" t="s">
        <v>104</v>
      </c>
      <c r="AI524" s="14" t="s">
        <v>104</v>
      </c>
      <c r="AJ524" s="14" t="s">
        <v>101</v>
      </c>
      <c r="AK524" s="14" t="s">
        <v>129</v>
      </c>
    </row>
    <row r="525" spans="33:37" x14ac:dyDescent="0.4">
      <c r="AG525" s="14" t="s">
        <v>104</v>
      </c>
      <c r="AH525" s="14" t="s">
        <v>104</v>
      </c>
      <c r="AI525" s="14" t="s">
        <v>104</v>
      </c>
      <c r="AJ525" s="56" t="s">
        <v>108</v>
      </c>
      <c r="AK525" s="14" t="s">
        <v>129</v>
      </c>
    </row>
    <row r="526" spans="33:37" x14ac:dyDescent="0.4">
      <c r="AG526" s="14" t="s">
        <v>104</v>
      </c>
      <c r="AH526" s="14" t="s">
        <v>104</v>
      </c>
      <c r="AI526" s="14" t="s">
        <v>104</v>
      </c>
      <c r="AJ526" s="14" t="s">
        <v>94</v>
      </c>
      <c r="AK526" s="14" t="s">
        <v>129</v>
      </c>
    </row>
    <row r="527" spans="33:37" x14ac:dyDescent="0.4">
      <c r="AG527" s="14" t="s">
        <v>104</v>
      </c>
      <c r="AH527" s="14" t="s">
        <v>104</v>
      </c>
      <c r="AI527" s="14" t="s">
        <v>101</v>
      </c>
      <c r="AJ527" s="14" t="s">
        <v>97</v>
      </c>
      <c r="AK527" s="14" t="s">
        <v>98</v>
      </c>
    </row>
    <row r="528" spans="33:37" x14ac:dyDescent="0.4">
      <c r="AG528" s="14" t="s">
        <v>104</v>
      </c>
      <c r="AH528" s="14" t="s">
        <v>104</v>
      </c>
      <c r="AI528" s="14" t="s">
        <v>101</v>
      </c>
      <c r="AJ528" s="14" t="s">
        <v>96</v>
      </c>
      <c r="AK528" s="14" t="s">
        <v>98</v>
      </c>
    </row>
    <row r="529" spans="33:37" x14ac:dyDescent="0.4">
      <c r="AG529" s="14" t="s">
        <v>104</v>
      </c>
      <c r="AH529" s="14" t="s">
        <v>104</v>
      </c>
      <c r="AI529" s="14" t="s">
        <v>101</v>
      </c>
      <c r="AJ529" s="14" t="s">
        <v>104</v>
      </c>
      <c r="AK529" s="14" t="s">
        <v>129</v>
      </c>
    </row>
    <row r="530" spans="33:37" x14ac:dyDescent="0.4">
      <c r="AG530" s="14" t="s">
        <v>104</v>
      </c>
      <c r="AH530" s="14" t="s">
        <v>104</v>
      </c>
      <c r="AI530" s="14" t="s">
        <v>101</v>
      </c>
      <c r="AJ530" s="14" t="s">
        <v>101</v>
      </c>
      <c r="AK530" s="14" t="s">
        <v>129</v>
      </c>
    </row>
    <row r="531" spans="33:37" x14ac:dyDescent="0.4">
      <c r="AG531" s="14" t="s">
        <v>104</v>
      </c>
      <c r="AH531" s="14" t="s">
        <v>104</v>
      </c>
      <c r="AI531" s="14" t="s">
        <v>101</v>
      </c>
      <c r="AJ531" s="56" t="s">
        <v>108</v>
      </c>
      <c r="AK531" s="14" t="s">
        <v>129</v>
      </c>
    </row>
    <row r="532" spans="33:37" x14ac:dyDescent="0.4">
      <c r="AG532" s="14" t="s">
        <v>104</v>
      </c>
      <c r="AH532" s="14" t="s">
        <v>104</v>
      </c>
      <c r="AI532" s="14" t="s">
        <v>101</v>
      </c>
      <c r="AJ532" s="14" t="s">
        <v>94</v>
      </c>
      <c r="AK532" s="14" t="s">
        <v>129</v>
      </c>
    </row>
    <row r="533" spans="33:37" x14ac:dyDescent="0.4">
      <c r="AG533" s="14" t="s">
        <v>104</v>
      </c>
      <c r="AH533" s="14" t="s">
        <v>104</v>
      </c>
      <c r="AI533" s="56" t="s">
        <v>108</v>
      </c>
      <c r="AJ533" s="14" t="s">
        <v>97</v>
      </c>
      <c r="AK533" s="14" t="s">
        <v>98</v>
      </c>
    </row>
    <row r="534" spans="33:37" x14ac:dyDescent="0.4">
      <c r="AG534" s="14" t="s">
        <v>104</v>
      </c>
      <c r="AH534" s="14" t="s">
        <v>104</v>
      </c>
      <c r="AI534" s="56" t="s">
        <v>108</v>
      </c>
      <c r="AJ534" s="14" t="s">
        <v>96</v>
      </c>
      <c r="AK534" s="14" t="s">
        <v>98</v>
      </c>
    </row>
    <row r="535" spans="33:37" x14ac:dyDescent="0.4">
      <c r="AG535" s="14" t="s">
        <v>104</v>
      </c>
      <c r="AH535" s="14" t="s">
        <v>104</v>
      </c>
      <c r="AI535" s="56" t="s">
        <v>108</v>
      </c>
      <c r="AJ535" s="14" t="s">
        <v>104</v>
      </c>
      <c r="AK535" s="14" t="s">
        <v>129</v>
      </c>
    </row>
    <row r="536" spans="33:37" x14ac:dyDescent="0.4">
      <c r="AG536" s="14" t="s">
        <v>104</v>
      </c>
      <c r="AH536" s="14" t="s">
        <v>104</v>
      </c>
      <c r="AI536" s="56" t="s">
        <v>108</v>
      </c>
      <c r="AJ536" s="14" t="s">
        <v>101</v>
      </c>
      <c r="AK536" s="14" t="s">
        <v>129</v>
      </c>
    </row>
    <row r="537" spans="33:37" x14ac:dyDescent="0.4">
      <c r="AG537" s="14" t="s">
        <v>104</v>
      </c>
      <c r="AH537" s="14" t="s">
        <v>104</v>
      </c>
      <c r="AI537" s="56" t="s">
        <v>108</v>
      </c>
      <c r="AJ537" s="56" t="s">
        <v>108</v>
      </c>
      <c r="AK537" s="14" t="s">
        <v>129</v>
      </c>
    </row>
    <row r="538" spans="33:37" x14ac:dyDescent="0.4">
      <c r="AG538" s="14" t="s">
        <v>104</v>
      </c>
      <c r="AH538" s="14" t="s">
        <v>104</v>
      </c>
      <c r="AI538" s="56" t="s">
        <v>108</v>
      </c>
      <c r="AJ538" s="14" t="s">
        <v>94</v>
      </c>
      <c r="AK538" s="14" t="s">
        <v>129</v>
      </c>
    </row>
    <row r="539" spans="33:37" x14ac:dyDescent="0.4">
      <c r="AG539" s="14" t="s">
        <v>104</v>
      </c>
      <c r="AH539" s="14" t="s">
        <v>104</v>
      </c>
      <c r="AI539" s="14" t="s">
        <v>94</v>
      </c>
      <c r="AJ539" s="14" t="s">
        <v>97</v>
      </c>
      <c r="AK539" s="14" t="s">
        <v>98</v>
      </c>
    </row>
    <row r="540" spans="33:37" x14ac:dyDescent="0.4">
      <c r="AG540" s="14" t="s">
        <v>104</v>
      </c>
      <c r="AH540" s="14" t="s">
        <v>104</v>
      </c>
      <c r="AI540" s="14" t="s">
        <v>94</v>
      </c>
      <c r="AJ540" s="14" t="s">
        <v>96</v>
      </c>
      <c r="AK540" s="14" t="s">
        <v>98</v>
      </c>
    </row>
    <row r="541" spans="33:37" x14ac:dyDescent="0.4">
      <c r="AG541" s="14" t="s">
        <v>104</v>
      </c>
      <c r="AH541" s="14" t="s">
        <v>104</v>
      </c>
      <c r="AI541" s="14" t="s">
        <v>94</v>
      </c>
      <c r="AJ541" s="14" t="s">
        <v>104</v>
      </c>
      <c r="AK541" s="14" t="s">
        <v>129</v>
      </c>
    </row>
    <row r="542" spans="33:37" x14ac:dyDescent="0.4">
      <c r="AG542" s="14" t="s">
        <v>104</v>
      </c>
      <c r="AH542" s="14" t="s">
        <v>104</v>
      </c>
      <c r="AI542" s="14" t="s">
        <v>94</v>
      </c>
      <c r="AJ542" s="14" t="s">
        <v>101</v>
      </c>
      <c r="AK542" s="14" t="s">
        <v>129</v>
      </c>
    </row>
    <row r="543" spans="33:37" x14ac:dyDescent="0.4">
      <c r="AG543" s="14" t="s">
        <v>104</v>
      </c>
      <c r="AH543" s="14" t="s">
        <v>104</v>
      </c>
      <c r="AI543" s="14" t="s">
        <v>94</v>
      </c>
      <c r="AJ543" s="56" t="s">
        <v>108</v>
      </c>
      <c r="AK543" s="14" t="s">
        <v>129</v>
      </c>
    </row>
    <row r="544" spans="33:37" x14ac:dyDescent="0.4">
      <c r="AG544" s="14" t="s">
        <v>104</v>
      </c>
      <c r="AH544" s="14" t="s">
        <v>104</v>
      </c>
      <c r="AI544" s="14" t="s">
        <v>94</v>
      </c>
      <c r="AJ544" s="14" t="s">
        <v>94</v>
      </c>
      <c r="AK544" s="14" t="s">
        <v>129</v>
      </c>
    </row>
    <row r="545" spans="33:37" x14ac:dyDescent="0.4">
      <c r="AG545" s="14" t="s">
        <v>104</v>
      </c>
      <c r="AH545" s="14" t="s">
        <v>101</v>
      </c>
      <c r="AI545" s="14" t="s">
        <v>97</v>
      </c>
      <c r="AJ545" s="14" t="s">
        <v>97</v>
      </c>
      <c r="AK545" s="14" t="s">
        <v>98</v>
      </c>
    </row>
    <row r="546" spans="33:37" x14ac:dyDescent="0.4">
      <c r="AG546" s="14" t="s">
        <v>104</v>
      </c>
      <c r="AH546" s="14" t="s">
        <v>101</v>
      </c>
      <c r="AI546" s="14" t="s">
        <v>97</v>
      </c>
      <c r="AJ546" s="14" t="s">
        <v>96</v>
      </c>
      <c r="AK546" s="14" t="s">
        <v>98</v>
      </c>
    </row>
    <row r="547" spans="33:37" x14ac:dyDescent="0.4">
      <c r="AG547" s="14" t="s">
        <v>104</v>
      </c>
      <c r="AH547" s="14" t="s">
        <v>101</v>
      </c>
      <c r="AI547" s="14" t="s">
        <v>97</v>
      </c>
      <c r="AJ547" s="14" t="s">
        <v>104</v>
      </c>
      <c r="AK547" s="14" t="s">
        <v>98</v>
      </c>
    </row>
    <row r="548" spans="33:37" x14ac:dyDescent="0.4">
      <c r="AG548" s="14" t="s">
        <v>104</v>
      </c>
      <c r="AH548" s="14" t="s">
        <v>101</v>
      </c>
      <c r="AI548" s="14" t="s">
        <v>97</v>
      </c>
      <c r="AJ548" s="14" t="s">
        <v>101</v>
      </c>
      <c r="AK548" s="14" t="s">
        <v>98</v>
      </c>
    </row>
    <row r="549" spans="33:37" x14ac:dyDescent="0.4">
      <c r="AG549" s="14" t="s">
        <v>104</v>
      </c>
      <c r="AH549" s="14" t="s">
        <v>101</v>
      </c>
      <c r="AI549" s="14" t="s">
        <v>97</v>
      </c>
      <c r="AJ549" s="56" t="s">
        <v>108</v>
      </c>
      <c r="AK549" s="14" t="s">
        <v>98</v>
      </c>
    </row>
    <row r="550" spans="33:37" x14ac:dyDescent="0.4">
      <c r="AG550" s="14" t="s">
        <v>104</v>
      </c>
      <c r="AH550" s="14" t="s">
        <v>101</v>
      </c>
      <c r="AI550" s="14" t="s">
        <v>97</v>
      </c>
      <c r="AJ550" s="14" t="s">
        <v>94</v>
      </c>
      <c r="AK550" s="14" t="s">
        <v>98</v>
      </c>
    </row>
    <row r="551" spans="33:37" x14ac:dyDescent="0.4">
      <c r="AG551" s="14" t="s">
        <v>104</v>
      </c>
      <c r="AH551" s="14" t="s">
        <v>101</v>
      </c>
      <c r="AI551" s="14" t="s">
        <v>96</v>
      </c>
      <c r="AJ551" s="14" t="s">
        <v>97</v>
      </c>
      <c r="AK551" s="14" t="s">
        <v>98</v>
      </c>
    </row>
    <row r="552" spans="33:37" x14ac:dyDescent="0.4">
      <c r="AG552" s="14" t="s">
        <v>104</v>
      </c>
      <c r="AH552" s="14" t="s">
        <v>101</v>
      </c>
      <c r="AI552" s="14" t="s">
        <v>96</v>
      </c>
      <c r="AJ552" s="14" t="s">
        <v>96</v>
      </c>
      <c r="AK552" s="14" t="s">
        <v>98</v>
      </c>
    </row>
    <row r="553" spans="33:37" x14ac:dyDescent="0.4">
      <c r="AG553" s="14" t="s">
        <v>104</v>
      </c>
      <c r="AH553" s="14" t="s">
        <v>101</v>
      </c>
      <c r="AI553" s="14" t="s">
        <v>96</v>
      </c>
      <c r="AJ553" s="14" t="s">
        <v>104</v>
      </c>
      <c r="AK553" s="14" t="s">
        <v>98</v>
      </c>
    </row>
    <row r="554" spans="33:37" x14ac:dyDescent="0.4">
      <c r="AG554" s="14" t="s">
        <v>104</v>
      </c>
      <c r="AH554" s="14" t="s">
        <v>101</v>
      </c>
      <c r="AI554" s="14" t="s">
        <v>96</v>
      </c>
      <c r="AJ554" s="14" t="s">
        <v>101</v>
      </c>
      <c r="AK554" s="14" t="s">
        <v>98</v>
      </c>
    </row>
    <row r="555" spans="33:37" x14ac:dyDescent="0.4">
      <c r="AG555" s="14" t="s">
        <v>104</v>
      </c>
      <c r="AH555" s="14" t="s">
        <v>101</v>
      </c>
      <c r="AI555" s="14" t="s">
        <v>96</v>
      </c>
      <c r="AJ555" s="56" t="s">
        <v>108</v>
      </c>
      <c r="AK555" s="14" t="s">
        <v>98</v>
      </c>
    </row>
    <row r="556" spans="33:37" x14ac:dyDescent="0.4">
      <c r="AG556" s="14" t="s">
        <v>104</v>
      </c>
      <c r="AH556" s="14" t="s">
        <v>101</v>
      </c>
      <c r="AI556" s="14" t="s">
        <v>96</v>
      </c>
      <c r="AJ556" s="14" t="s">
        <v>94</v>
      </c>
      <c r="AK556" s="14" t="s">
        <v>98</v>
      </c>
    </row>
    <row r="557" spans="33:37" x14ac:dyDescent="0.4">
      <c r="AG557" s="14" t="s">
        <v>104</v>
      </c>
      <c r="AH557" s="14" t="s">
        <v>101</v>
      </c>
      <c r="AI557" s="14" t="s">
        <v>104</v>
      </c>
      <c r="AJ557" s="14" t="s">
        <v>97</v>
      </c>
      <c r="AK557" s="14" t="s">
        <v>98</v>
      </c>
    </row>
    <row r="558" spans="33:37" x14ac:dyDescent="0.4">
      <c r="AG558" s="14" t="s">
        <v>104</v>
      </c>
      <c r="AH558" s="14" t="s">
        <v>101</v>
      </c>
      <c r="AI558" s="14" t="s">
        <v>104</v>
      </c>
      <c r="AJ558" s="14" t="s">
        <v>96</v>
      </c>
      <c r="AK558" s="14" t="s">
        <v>98</v>
      </c>
    </row>
    <row r="559" spans="33:37" x14ac:dyDescent="0.4">
      <c r="AG559" s="14" t="s">
        <v>104</v>
      </c>
      <c r="AH559" s="14" t="s">
        <v>101</v>
      </c>
      <c r="AI559" s="14" t="s">
        <v>104</v>
      </c>
      <c r="AJ559" s="14" t="s">
        <v>104</v>
      </c>
      <c r="AK559" s="14" t="s">
        <v>129</v>
      </c>
    </row>
    <row r="560" spans="33:37" x14ac:dyDescent="0.4">
      <c r="AG560" s="14" t="s">
        <v>104</v>
      </c>
      <c r="AH560" s="14" t="s">
        <v>101</v>
      </c>
      <c r="AI560" s="14" t="s">
        <v>104</v>
      </c>
      <c r="AJ560" s="14" t="s">
        <v>101</v>
      </c>
      <c r="AK560" s="14" t="s">
        <v>129</v>
      </c>
    </row>
    <row r="561" spans="33:37" x14ac:dyDescent="0.4">
      <c r="AG561" s="14" t="s">
        <v>104</v>
      </c>
      <c r="AH561" s="14" t="s">
        <v>101</v>
      </c>
      <c r="AI561" s="14" t="s">
        <v>104</v>
      </c>
      <c r="AJ561" s="56" t="s">
        <v>108</v>
      </c>
      <c r="AK561" s="14" t="s">
        <v>129</v>
      </c>
    </row>
    <row r="562" spans="33:37" x14ac:dyDescent="0.4">
      <c r="AG562" s="14" t="s">
        <v>104</v>
      </c>
      <c r="AH562" s="14" t="s">
        <v>101</v>
      </c>
      <c r="AI562" s="14" t="s">
        <v>104</v>
      </c>
      <c r="AJ562" s="14" t="s">
        <v>94</v>
      </c>
      <c r="AK562" s="14" t="s">
        <v>129</v>
      </c>
    </row>
    <row r="563" spans="33:37" x14ac:dyDescent="0.4">
      <c r="AG563" s="14" t="s">
        <v>104</v>
      </c>
      <c r="AH563" s="14" t="s">
        <v>101</v>
      </c>
      <c r="AI563" s="14" t="s">
        <v>101</v>
      </c>
      <c r="AJ563" s="14" t="s">
        <v>97</v>
      </c>
      <c r="AK563" s="14" t="s">
        <v>98</v>
      </c>
    </row>
    <row r="564" spans="33:37" x14ac:dyDescent="0.4">
      <c r="AG564" s="14" t="s">
        <v>104</v>
      </c>
      <c r="AH564" s="14" t="s">
        <v>101</v>
      </c>
      <c r="AI564" s="14" t="s">
        <v>101</v>
      </c>
      <c r="AJ564" s="14" t="s">
        <v>96</v>
      </c>
      <c r="AK564" s="14" t="s">
        <v>98</v>
      </c>
    </row>
    <row r="565" spans="33:37" x14ac:dyDescent="0.4">
      <c r="AG565" s="14" t="s">
        <v>104</v>
      </c>
      <c r="AH565" s="14" t="s">
        <v>101</v>
      </c>
      <c r="AI565" s="14" t="s">
        <v>101</v>
      </c>
      <c r="AJ565" s="14" t="s">
        <v>104</v>
      </c>
      <c r="AK565" s="14" t="s">
        <v>129</v>
      </c>
    </row>
    <row r="566" spans="33:37" x14ac:dyDescent="0.4">
      <c r="AG566" s="14" t="s">
        <v>104</v>
      </c>
      <c r="AH566" s="14" t="s">
        <v>101</v>
      </c>
      <c r="AI566" s="14" t="s">
        <v>101</v>
      </c>
      <c r="AJ566" s="14" t="s">
        <v>101</v>
      </c>
      <c r="AK566" s="14" t="s">
        <v>129</v>
      </c>
    </row>
    <row r="567" spans="33:37" x14ac:dyDescent="0.4">
      <c r="AG567" s="14" t="s">
        <v>104</v>
      </c>
      <c r="AH567" s="14" t="s">
        <v>101</v>
      </c>
      <c r="AI567" s="14" t="s">
        <v>101</v>
      </c>
      <c r="AJ567" s="56" t="s">
        <v>108</v>
      </c>
      <c r="AK567" s="14" t="s">
        <v>129</v>
      </c>
    </row>
    <row r="568" spans="33:37" x14ac:dyDescent="0.4">
      <c r="AG568" s="14" t="s">
        <v>104</v>
      </c>
      <c r="AH568" s="14" t="s">
        <v>101</v>
      </c>
      <c r="AI568" s="14" t="s">
        <v>101</v>
      </c>
      <c r="AJ568" s="14" t="s">
        <v>94</v>
      </c>
      <c r="AK568" s="14" t="s">
        <v>129</v>
      </c>
    </row>
    <row r="569" spans="33:37" x14ac:dyDescent="0.4">
      <c r="AG569" s="14" t="s">
        <v>104</v>
      </c>
      <c r="AH569" s="14" t="s">
        <v>101</v>
      </c>
      <c r="AI569" s="56" t="s">
        <v>108</v>
      </c>
      <c r="AJ569" s="14" t="s">
        <v>97</v>
      </c>
      <c r="AK569" s="14" t="s">
        <v>98</v>
      </c>
    </row>
    <row r="570" spans="33:37" x14ac:dyDescent="0.4">
      <c r="AG570" s="14" t="s">
        <v>104</v>
      </c>
      <c r="AH570" s="14" t="s">
        <v>101</v>
      </c>
      <c r="AI570" s="56" t="s">
        <v>108</v>
      </c>
      <c r="AJ570" s="14" t="s">
        <v>96</v>
      </c>
      <c r="AK570" s="14" t="s">
        <v>98</v>
      </c>
    </row>
    <row r="571" spans="33:37" x14ac:dyDescent="0.4">
      <c r="AG571" s="14" t="s">
        <v>104</v>
      </c>
      <c r="AH571" s="14" t="s">
        <v>101</v>
      </c>
      <c r="AI571" s="56" t="s">
        <v>108</v>
      </c>
      <c r="AJ571" s="14" t="s">
        <v>104</v>
      </c>
      <c r="AK571" s="14" t="s">
        <v>129</v>
      </c>
    </row>
    <row r="572" spans="33:37" x14ac:dyDescent="0.4">
      <c r="AG572" s="14" t="s">
        <v>104</v>
      </c>
      <c r="AH572" s="14" t="s">
        <v>101</v>
      </c>
      <c r="AI572" s="56" t="s">
        <v>108</v>
      </c>
      <c r="AJ572" s="14" t="s">
        <v>101</v>
      </c>
      <c r="AK572" s="14" t="s">
        <v>129</v>
      </c>
    </row>
    <row r="573" spans="33:37" x14ac:dyDescent="0.4">
      <c r="AG573" s="14" t="s">
        <v>104</v>
      </c>
      <c r="AH573" s="14" t="s">
        <v>101</v>
      </c>
      <c r="AI573" s="56" t="s">
        <v>108</v>
      </c>
      <c r="AJ573" s="56" t="s">
        <v>108</v>
      </c>
      <c r="AK573" s="14" t="s">
        <v>129</v>
      </c>
    </row>
    <row r="574" spans="33:37" x14ac:dyDescent="0.4">
      <c r="AG574" s="14" t="s">
        <v>104</v>
      </c>
      <c r="AH574" s="14" t="s">
        <v>101</v>
      </c>
      <c r="AI574" s="56" t="s">
        <v>108</v>
      </c>
      <c r="AJ574" s="14" t="s">
        <v>94</v>
      </c>
      <c r="AK574" s="14" t="s">
        <v>129</v>
      </c>
    </row>
    <row r="575" spans="33:37" x14ac:dyDescent="0.4">
      <c r="AG575" s="14" t="s">
        <v>104</v>
      </c>
      <c r="AH575" s="14" t="s">
        <v>101</v>
      </c>
      <c r="AI575" s="14" t="s">
        <v>94</v>
      </c>
      <c r="AJ575" s="14" t="s">
        <v>97</v>
      </c>
      <c r="AK575" s="14" t="s">
        <v>98</v>
      </c>
    </row>
    <row r="576" spans="33:37" x14ac:dyDescent="0.4">
      <c r="AG576" s="14" t="s">
        <v>104</v>
      </c>
      <c r="AH576" s="14" t="s">
        <v>101</v>
      </c>
      <c r="AI576" s="14" t="s">
        <v>94</v>
      </c>
      <c r="AJ576" s="14" t="s">
        <v>96</v>
      </c>
      <c r="AK576" s="14" t="s">
        <v>98</v>
      </c>
    </row>
    <row r="577" spans="33:37" x14ac:dyDescent="0.4">
      <c r="AG577" s="14" t="s">
        <v>104</v>
      </c>
      <c r="AH577" s="14" t="s">
        <v>101</v>
      </c>
      <c r="AI577" s="14" t="s">
        <v>94</v>
      </c>
      <c r="AJ577" s="14" t="s">
        <v>104</v>
      </c>
      <c r="AK577" s="14" t="s">
        <v>129</v>
      </c>
    </row>
    <row r="578" spans="33:37" x14ac:dyDescent="0.4">
      <c r="AG578" s="14" t="s">
        <v>104</v>
      </c>
      <c r="AH578" s="14" t="s">
        <v>101</v>
      </c>
      <c r="AI578" s="14" t="s">
        <v>94</v>
      </c>
      <c r="AJ578" s="14" t="s">
        <v>101</v>
      </c>
      <c r="AK578" s="14" t="s">
        <v>129</v>
      </c>
    </row>
    <row r="579" spans="33:37" x14ac:dyDescent="0.4">
      <c r="AG579" s="14" t="s">
        <v>104</v>
      </c>
      <c r="AH579" s="14" t="s">
        <v>101</v>
      </c>
      <c r="AI579" s="14" t="s">
        <v>94</v>
      </c>
      <c r="AJ579" s="56" t="s">
        <v>108</v>
      </c>
      <c r="AK579" s="14" t="s">
        <v>129</v>
      </c>
    </row>
    <row r="580" spans="33:37" x14ac:dyDescent="0.4">
      <c r="AG580" s="14" t="s">
        <v>104</v>
      </c>
      <c r="AH580" s="14" t="s">
        <v>101</v>
      </c>
      <c r="AI580" s="14" t="s">
        <v>94</v>
      </c>
      <c r="AJ580" s="14" t="s">
        <v>94</v>
      </c>
      <c r="AK580" s="14" t="s">
        <v>129</v>
      </c>
    </row>
    <row r="581" spans="33:37" x14ac:dyDescent="0.4">
      <c r="AG581" s="14" t="s">
        <v>104</v>
      </c>
      <c r="AH581" s="56" t="s">
        <v>108</v>
      </c>
      <c r="AI581" s="14" t="s">
        <v>97</v>
      </c>
      <c r="AJ581" s="14" t="s">
        <v>97</v>
      </c>
      <c r="AK581" s="14" t="s">
        <v>98</v>
      </c>
    </row>
    <row r="582" spans="33:37" x14ac:dyDescent="0.4">
      <c r="AG582" s="14" t="s">
        <v>104</v>
      </c>
      <c r="AH582" s="56" t="s">
        <v>108</v>
      </c>
      <c r="AI582" s="14" t="s">
        <v>97</v>
      </c>
      <c r="AJ582" s="14" t="s">
        <v>96</v>
      </c>
      <c r="AK582" s="14" t="s">
        <v>98</v>
      </c>
    </row>
    <row r="583" spans="33:37" x14ac:dyDescent="0.4">
      <c r="AG583" s="14" t="s">
        <v>104</v>
      </c>
      <c r="AH583" s="56" t="s">
        <v>108</v>
      </c>
      <c r="AI583" s="14" t="s">
        <v>97</v>
      </c>
      <c r="AJ583" s="14" t="s">
        <v>104</v>
      </c>
      <c r="AK583" s="14" t="s">
        <v>98</v>
      </c>
    </row>
    <row r="584" spans="33:37" x14ac:dyDescent="0.4">
      <c r="AG584" s="14" t="s">
        <v>104</v>
      </c>
      <c r="AH584" s="56" t="s">
        <v>108</v>
      </c>
      <c r="AI584" s="14" t="s">
        <v>97</v>
      </c>
      <c r="AJ584" s="14" t="s">
        <v>101</v>
      </c>
      <c r="AK584" s="14" t="s">
        <v>98</v>
      </c>
    </row>
    <row r="585" spans="33:37" x14ac:dyDescent="0.4">
      <c r="AG585" s="14" t="s">
        <v>104</v>
      </c>
      <c r="AH585" s="56" t="s">
        <v>108</v>
      </c>
      <c r="AI585" s="14" t="s">
        <v>97</v>
      </c>
      <c r="AJ585" s="56" t="s">
        <v>108</v>
      </c>
      <c r="AK585" s="14" t="s">
        <v>98</v>
      </c>
    </row>
    <row r="586" spans="33:37" x14ac:dyDescent="0.4">
      <c r="AG586" s="14" t="s">
        <v>104</v>
      </c>
      <c r="AH586" s="56" t="s">
        <v>108</v>
      </c>
      <c r="AI586" s="14" t="s">
        <v>97</v>
      </c>
      <c r="AJ586" s="14" t="s">
        <v>94</v>
      </c>
      <c r="AK586" s="14" t="s">
        <v>98</v>
      </c>
    </row>
    <row r="587" spans="33:37" x14ac:dyDescent="0.4">
      <c r="AG587" s="14" t="s">
        <v>104</v>
      </c>
      <c r="AH587" s="56" t="s">
        <v>108</v>
      </c>
      <c r="AI587" s="14" t="s">
        <v>96</v>
      </c>
      <c r="AJ587" s="14" t="s">
        <v>97</v>
      </c>
      <c r="AK587" s="14" t="s">
        <v>98</v>
      </c>
    </row>
    <row r="588" spans="33:37" x14ac:dyDescent="0.4">
      <c r="AG588" s="14" t="s">
        <v>104</v>
      </c>
      <c r="AH588" s="56" t="s">
        <v>108</v>
      </c>
      <c r="AI588" s="14" t="s">
        <v>96</v>
      </c>
      <c r="AJ588" s="14" t="s">
        <v>96</v>
      </c>
      <c r="AK588" s="14" t="s">
        <v>98</v>
      </c>
    </row>
    <row r="589" spans="33:37" x14ac:dyDescent="0.4">
      <c r="AG589" s="14" t="s">
        <v>104</v>
      </c>
      <c r="AH589" s="56" t="s">
        <v>108</v>
      </c>
      <c r="AI589" s="14" t="s">
        <v>96</v>
      </c>
      <c r="AJ589" s="14" t="s">
        <v>104</v>
      </c>
      <c r="AK589" s="14" t="s">
        <v>98</v>
      </c>
    </row>
    <row r="590" spans="33:37" x14ac:dyDescent="0.4">
      <c r="AG590" s="14" t="s">
        <v>104</v>
      </c>
      <c r="AH590" s="56" t="s">
        <v>108</v>
      </c>
      <c r="AI590" s="14" t="s">
        <v>96</v>
      </c>
      <c r="AJ590" s="14" t="s">
        <v>101</v>
      </c>
      <c r="AK590" s="14" t="s">
        <v>98</v>
      </c>
    </row>
    <row r="591" spans="33:37" x14ac:dyDescent="0.4">
      <c r="AG591" s="14" t="s">
        <v>104</v>
      </c>
      <c r="AH591" s="56" t="s">
        <v>108</v>
      </c>
      <c r="AI591" s="14" t="s">
        <v>96</v>
      </c>
      <c r="AJ591" s="56" t="s">
        <v>108</v>
      </c>
      <c r="AK591" s="14" t="s">
        <v>98</v>
      </c>
    </row>
    <row r="592" spans="33:37" x14ac:dyDescent="0.4">
      <c r="AG592" s="14" t="s">
        <v>104</v>
      </c>
      <c r="AH592" s="56" t="s">
        <v>108</v>
      </c>
      <c r="AI592" s="14" t="s">
        <v>96</v>
      </c>
      <c r="AJ592" s="14" t="s">
        <v>94</v>
      </c>
      <c r="AK592" s="14" t="s">
        <v>98</v>
      </c>
    </row>
    <row r="593" spans="33:37" x14ac:dyDescent="0.4">
      <c r="AG593" s="14" t="s">
        <v>104</v>
      </c>
      <c r="AH593" s="56" t="s">
        <v>108</v>
      </c>
      <c r="AI593" s="14" t="s">
        <v>104</v>
      </c>
      <c r="AJ593" s="14" t="s">
        <v>97</v>
      </c>
      <c r="AK593" s="14" t="s">
        <v>98</v>
      </c>
    </row>
    <row r="594" spans="33:37" x14ac:dyDescent="0.4">
      <c r="AG594" s="14" t="s">
        <v>104</v>
      </c>
      <c r="AH594" s="56" t="s">
        <v>108</v>
      </c>
      <c r="AI594" s="14" t="s">
        <v>104</v>
      </c>
      <c r="AJ594" s="14" t="s">
        <v>96</v>
      </c>
      <c r="AK594" s="14" t="s">
        <v>98</v>
      </c>
    </row>
    <row r="595" spans="33:37" x14ac:dyDescent="0.4">
      <c r="AG595" s="14" t="s">
        <v>104</v>
      </c>
      <c r="AH595" s="56" t="s">
        <v>108</v>
      </c>
      <c r="AI595" s="14" t="s">
        <v>104</v>
      </c>
      <c r="AJ595" s="14" t="s">
        <v>104</v>
      </c>
      <c r="AK595" s="14" t="s">
        <v>129</v>
      </c>
    </row>
    <row r="596" spans="33:37" x14ac:dyDescent="0.4">
      <c r="AG596" s="14" t="s">
        <v>104</v>
      </c>
      <c r="AH596" s="56" t="s">
        <v>108</v>
      </c>
      <c r="AI596" s="14" t="s">
        <v>104</v>
      </c>
      <c r="AJ596" s="14" t="s">
        <v>101</v>
      </c>
      <c r="AK596" s="14" t="s">
        <v>129</v>
      </c>
    </row>
    <row r="597" spans="33:37" x14ac:dyDescent="0.4">
      <c r="AG597" s="14" t="s">
        <v>104</v>
      </c>
      <c r="AH597" s="56" t="s">
        <v>108</v>
      </c>
      <c r="AI597" s="14" t="s">
        <v>104</v>
      </c>
      <c r="AJ597" s="56" t="s">
        <v>108</v>
      </c>
      <c r="AK597" s="14" t="s">
        <v>129</v>
      </c>
    </row>
    <row r="598" spans="33:37" x14ac:dyDescent="0.4">
      <c r="AG598" s="14" t="s">
        <v>104</v>
      </c>
      <c r="AH598" s="56" t="s">
        <v>108</v>
      </c>
      <c r="AI598" s="14" t="s">
        <v>104</v>
      </c>
      <c r="AJ598" s="14" t="s">
        <v>94</v>
      </c>
      <c r="AK598" s="14" t="s">
        <v>129</v>
      </c>
    </row>
    <row r="599" spans="33:37" x14ac:dyDescent="0.4">
      <c r="AG599" s="14" t="s">
        <v>104</v>
      </c>
      <c r="AH599" s="56" t="s">
        <v>108</v>
      </c>
      <c r="AI599" s="14" t="s">
        <v>101</v>
      </c>
      <c r="AJ599" s="14" t="s">
        <v>97</v>
      </c>
      <c r="AK599" s="14" t="s">
        <v>98</v>
      </c>
    </row>
    <row r="600" spans="33:37" x14ac:dyDescent="0.4">
      <c r="AG600" s="14" t="s">
        <v>104</v>
      </c>
      <c r="AH600" s="56" t="s">
        <v>108</v>
      </c>
      <c r="AI600" s="14" t="s">
        <v>101</v>
      </c>
      <c r="AJ600" s="14" t="s">
        <v>96</v>
      </c>
      <c r="AK600" s="14" t="s">
        <v>98</v>
      </c>
    </row>
    <row r="601" spans="33:37" x14ac:dyDescent="0.4">
      <c r="AG601" s="14" t="s">
        <v>104</v>
      </c>
      <c r="AH601" s="56" t="s">
        <v>108</v>
      </c>
      <c r="AI601" s="14" t="s">
        <v>101</v>
      </c>
      <c r="AJ601" s="14" t="s">
        <v>104</v>
      </c>
      <c r="AK601" s="14" t="s">
        <v>129</v>
      </c>
    </row>
    <row r="602" spans="33:37" x14ac:dyDescent="0.4">
      <c r="AG602" s="14" t="s">
        <v>104</v>
      </c>
      <c r="AH602" s="56" t="s">
        <v>108</v>
      </c>
      <c r="AI602" s="14" t="s">
        <v>101</v>
      </c>
      <c r="AJ602" s="14" t="s">
        <v>101</v>
      </c>
      <c r="AK602" s="14" t="s">
        <v>129</v>
      </c>
    </row>
    <row r="603" spans="33:37" x14ac:dyDescent="0.4">
      <c r="AG603" s="14" t="s">
        <v>104</v>
      </c>
      <c r="AH603" s="56" t="s">
        <v>108</v>
      </c>
      <c r="AI603" s="14" t="s">
        <v>101</v>
      </c>
      <c r="AJ603" s="56" t="s">
        <v>108</v>
      </c>
      <c r="AK603" s="14" t="s">
        <v>129</v>
      </c>
    </row>
    <row r="604" spans="33:37" x14ac:dyDescent="0.4">
      <c r="AG604" s="14" t="s">
        <v>104</v>
      </c>
      <c r="AH604" s="56" t="s">
        <v>108</v>
      </c>
      <c r="AI604" s="14" t="s">
        <v>101</v>
      </c>
      <c r="AJ604" s="14" t="s">
        <v>94</v>
      </c>
      <c r="AK604" s="14" t="s">
        <v>129</v>
      </c>
    </row>
    <row r="605" spans="33:37" x14ac:dyDescent="0.4">
      <c r="AG605" s="14" t="s">
        <v>104</v>
      </c>
      <c r="AH605" s="56" t="s">
        <v>108</v>
      </c>
      <c r="AI605" s="56" t="s">
        <v>108</v>
      </c>
      <c r="AJ605" s="14" t="s">
        <v>97</v>
      </c>
      <c r="AK605" s="14" t="s">
        <v>98</v>
      </c>
    </row>
    <row r="606" spans="33:37" x14ac:dyDescent="0.4">
      <c r="AG606" s="14" t="s">
        <v>104</v>
      </c>
      <c r="AH606" s="56" t="s">
        <v>108</v>
      </c>
      <c r="AI606" s="56" t="s">
        <v>108</v>
      </c>
      <c r="AJ606" s="14" t="s">
        <v>96</v>
      </c>
      <c r="AK606" s="14" t="s">
        <v>98</v>
      </c>
    </row>
    <row r="607" spans="33:37" x14ac:dyDescent="0.4">
      <c r="AG607" s="14" t="s">
        <v>104</v>
      </c>
      <c r="AH607" s="56" t="s">
        <v>108</v>
      </c>
      <c r="AI607" s="56" t="s">
        <v>108</v>
      </c>
      <c r="AJ607" s="14" t="s">
        <v>104</v>
      </c>
      <c r="AK607" s="14" t="s">
        <v>129</v>
      </c>
    </row>
    <row r="608" spans="33:37" x14ac:dyDescent="0.4">
      <c r="AG608" s="14" t="s">
        <v>104</v>
      </c>
      <c r="AH608" s="56" t="s">
        <v>108</v>
      </c>
      <c r="AI608" s="56" t="s">
        <v>108</v>
      </c>
      <c r="AJ608" s="14" t="s">
        <v>101</v>
      </c>
      <c r="AK608" s="14" t="s">
        <v>129</v>
      </c>
    </row>
    <row r="609" spans="33:37" x14ac:dyDescent="0.4">
      <c r="AG609" s="14" t="s">
        <v>104</v>
      </c>
      <c r="AH609" s="56" t="s">
        <v>108</v>
      </c>
      <c r="AI609" s="56" t="s">
        <v>108</v>
      </c>
      <c r="AJ609" s="56" t="s">
        <v>108</v>
      </c>
      <c r="AK609" s="14" t="s">
        <v>129</v>
      </c>
    </row>
    <row r="610" spans="33:37" x14ac:dyDescent="0.4">
      <c r="AG610" s="14" t="s">
        <v>104</v>
      </c>
      <c r="AH610" s="56" t="s">
        <v>108</v>
      </c>
      <c r="AI610" s="56" t="s">
        <v>108</v>
      </c>
      <c r="AJ610" s="14" t="s">
        <v>94</v>
      </c>
      <c r="AK610" s="14" t="s">
        <v>129</v>
      </c>
    </row>
    <row r="611" spans="33:37" x14ac:dyDescent="0.4">
      <c r="AG611" s="14" t="s">
        <v>104</v>
      </c>
      <c r="AH611" s="56" t="s">
        <v>108</v>
      </c>
      <c r="AI611" s="14" t="s">
        <v>94</v>
      </c>
      <c r="AJ611" s="14" t="s">
        <v>97</v>
      </c>
      <c r="AK611" s="14" t="s">
        <v>98</v>
      </c>
    </row>
    <row r="612" spans="33:37" x14ac:dyDescent="0.4">
      <c r="AG612" s="14" t="s">
        <v>104</v>
      </c>
      <c r="AH612" s="56" t="s">
        <v>108</v>
      </c>
      <c r="AI612" s="14" t="s">
        <v>94</v>
      </c>
      <c r="AJ612" s="14" t="s">
        <v>96</v>
      </c>
      <c r="AK612" s="14" t="s">
        <v>98</v>
      </c>
    </row>
    <row r="613" spans="33:37" x14ac:dyDescent="0.4">
      <c r="AG613" s="14" t="s">
        <v>104</v>
      </c>
      <c r="AH613" s="56" t="s">
        <v>108</v>
      </c>
      <c r="AI613" s="14" t="s">
        <v>94</v>
      </c>
      <c r="AJ613" s="14" t="s">
        <v>104</v>
      </c>
      <c r="AK613" s="14" t="s">
        <v>129</v>
      </c>
    </row>
    <row r="614" spans="33:37" x14ac:dyDescent="0.4">
      <c r="AG614" s="14" t="s">
        <v>104</v>
      </c>
      <c r="AH614" s="56" t="s">
        <v>108</v>
      </c>
      <c r="AI614" s="14" t="s">
        <v>94</v>
      </c>
      <c r="AJ614" s="14" t="s">
        <v>101</v>
      </c>
      <c r="AK614" s="14" t="s">
        <v>129</v>
      </c>
    </row>
    <row r="615" spans="33:37" x14ac:dyDescent="0.4">
      <c r="AG615" s="14" t="s">
        <v>104</v>
      </c>
      <c r="AH615" s="56" t="s">
        <v>108</v>
      </c>
      <c r="AI615" s="14" t="s">
        <v>94</v>
      </c>
      <c r="AJ615" s="56" t="s">
        <v>108</v>
      </c>
      <c r="AK615" s="14" t="s">
        <v>129</v>
      </c>
    </row>
    <row r="616" spans="33:37" x14ac:dyDescent="0.4">
      <c r="AG616" s="14" t="s">
        <v>104</v>
      </c>
      <c r="AH616" s="56" t="s">
        <v>108</v>
      </c>
      <c r="AI616" s="14" t="s">
        <v>94</v>
      </c>
      <c r="AJ616" s="14" t="s">
        <v>94</v>
      </c>
      <c r="AK616" s="14" t="s">
        <v>129</v>
      </c>
    </row>
    <row r="617" spans="33:37" x14ac:dyDescent="0.4">
      <c r="AG617" s="14" t="s">
        <v>104</v>
      </c>
      <c r="AH617" s="14" t="s">
        <v>94</v>
      </c>
      <c r="AI617" s="14" t="s">
        <v>97</v>
      </c>
      <c r="AJ617" s="14" t="s">
        <v>97</v>
      </c>
      <c r="AK617" s="14" t="s">
        <v>98</v>
      </c>
    </row>
    <row r="618" spans="33:37" x14ac:dyDescent="0.4">
      <c r="AG618" s="14" t="s">
        <v>104</v>
      </c>
      <c r="AH618" s="14" t="s">
        <v>94</v>
      </c>
      <c r="AI618" s="14" t="s">
        <v>97</v>
      </c>
      <c r="AJ618" s="14" t="s">
        <v>96</v>
      </c>
      <c r="AK618" s="14" t="s">
        <v>98</v>
      </c>
    </row>
    <row r="619" spans="33:37" x14ac:dyDescent="0.4">
      <c r="AG619" s="14" t="s">
        <v>104</v>
      </c>
      <c r="AH619" s="14" t="s">
        <v>94</v>
      </c>
      <c r="AI619" s="14" t="s">
        <v>97</v>
      </c>
      <c r="AJ619" s="14" t="s">
        <v>104</v>
      </c>
      <c r="AK619" s="14" t="s">
        <v>129</v>
      </c>
    </row>
    <row r="620" spans="33:37" x14ac:dyDescent="0.4">
      <c r="AG620" s="14" t="s">
        <v>104</v>
      </c>
      <c r="AH620" s="14" t="s">
        <v>94</v>
      </c>
      <c r="AI620" s="14" t="s">
        <v>97</v>
      </c>
      <c r="AJ620" s="14" t="s">
        <v>101</v>
      </c>
      <c r="AK620" s="14" t="s">
        <v>129</v>
      </c>
    </row>
    <row r="621" spans="33:37" x14ac:dyDescent="0.4">
      <c r="AG621" s="14" t="s">
        <v>104</v>
      </c>
      <c r="AH621" s="14" t="s">
        <v>94</v>
      </c>
      <c r="AI621" s="14" t="s">
        <v>97</v>
      </c>
      <c r="AJ621" s="56" t="s">
        <v>108</v>
      </c>
      <c r="AK621" s="14" t="s">
        <v>129</v>
      </c>
    </row>
    <row r="622" spans="33:37" x14ac:dyDescent="0.4">
      <c r="AG622" s="14" t="s">
        <v>104</v>
      </c>
      <c r="AH622" s="14" t="s">
        <v>94</v>
      </c>
      <c r="AI622" s="14" t="s">
        <v>97</v>
      </c>
      <c r="AJ622" s="14" t="s">
        <v>94</v>
      </c>
      <c r="AK622" s="14" t="s">
        <v>129</v>
      </c>
    </row>
    <row r="623" spans="33:37" x14ac:dyDescent="0.4">
      <c r="AG623" s="14" t="s">
        <v>104</v>
      </c>
      <c r="AH623" s="14" t="s">
        <v>94</v>
      </c>
      <c r="AI623" s="14" t="s">
        <v>96</v>
      </c>
      <c r="AJ623" s="14" t="s">
        <v>97</v>
      </c>
      <c r="AK623" s="14" t="s">
        <v>98</v>
      </c>
    </row>
    <row r="624" spans="33:37" x14ac:dyDescent="0.4">
      <c r="AG624" s="14" t="s">
        <v>104</v>
      </c>
      <c r="AH624" s="14" t="s">
        <v>94</v>
      </c>
      <c r="AI624" s="14" t="s">
        <v>96</v>
      </c>
      <c r="AJ624" s="14" t="s">
        <v>96</v>
      </c>
      <c r="AK624" s="14" t="s">
        <v>98</v>
      </c>
    </row>
    <row r="625" spans="33:37" x14ac:dyDescent="0.4">
      <c r="AG625" s="14" t="s">
        <v>104</v>
      </c>
      <c r="AH625" s="14" t="s">
        <v>94</v>
      </c>
      <c r="AI625" s="14" t="s">
        <v>96</v>
      </c>
      <c r="AJ625" s="14" t="s">
        <v>104</v>
      </c>
      <c r="AK625" s="14" t="s">
        <v>98</v>
      </c>
    </row>
    <row r="626" spans="33:37" x14ac:dyDescent="0.4">
      <c r="AG626" s="14" t="s">
        <v>104</v>
      </c>
      <c r="AH626" s="14" t="s">
        <v>94</v>
      </c>
      <c r="AI626" s="14" t="s">
        <v>96</v>
      </c>
      <c r="AJ626" s="14" t="s">
        <v>101</v>
      </c>
      <c r="AK626" s="14" t="s">
        <v>98</v>
      </c>
    </row>
    <row r="627" spans="33:37" x14ac:dyDescent="0.4">
      <c r="AG627" s="14" t="s">
        <v>104</v>
      </c>
      <c r="AH627" s="14" t="s">
        <v>94</v>
      </c>
      <c r="AI627" s="14" t="s">
        <v>96</v>
      </c>
      <c r="AJ627" s="56" t="s">
        <v>108</v>
      </c>
      <c r="AK627" s="14" t="s">
        <v>98</v>
      </c>
    </row>
    <row r="628" spans="33:37" x14ac:dyDescent="0.4">
      <c r="AG628" s="14" t="s">
        <v>104</v>
      </c>
      <c r="AH628" s="14" t="s">
        <v>94</v>
      </c>
      <c r="AI628" s="14" t="s">
        <v>96</v>
      </c>
      <c r="AJ628" s="14" t="s">
        <v>94</v>
      </c>
      <c r="AK628" s="14" t="s">
        <v>98</v>
      </c>
    </row>
    <row r="629" spans="33:37" x14ac:dyDescent="0.4">
      <c r="AG629" s="14" t="s">
        <v>104</v>
      </c>
      <c r="AH629" s="14" t="s">
        <v>94</v>
      </c>
      <c r="AI629" s="14" t="s">
        <v>104</v>
      </c>
      <c r="AJ629" s="14" t="s">
        <v>97</v>
      </c>
      <c r="AK629" s="14" t="s">
        <v>98</v>
      </c>
    </row>
    <row r="630" spans="33:37" x14ac:dyDescent="0.4">
      <c r="AG630" s="14" t="s">
        <v>104</v>
      </c>
      <c r="AH630" s="14" t="s">
        <v>94</v>
      </c>
      <c r="AI630" s="14" t="s">
        <v>104</v>
      </c>
      <c r="AJ630" s="14" t="s">
        <v>96</v>
      </c>
      <c r="AK630" s="14" t="s">
        <v>98</v>
      </c>
    </row>
    <row r="631" spans="33:37" x14ac:dyDescent="0.4">
      <c r="AG631" s="14" t="s">
        <v>104</v>
      </c>
      <c r="AH631" s="14" t="s">
        <v>94</v>
      </c>
      <c r="AI631" s="14" t="s">
        <v>104</v>
      </c>
      <c r="AJ631" s="14" t="s">
        <v>104</v>
      </c>
      <c r="AK631" s="14" t="s">
        <v>129</v>
      </c>
    </row>
    <row r="632" spans="33:37" x14ac:dyDescent="0.4">
      <c r="AG632" s="14" t="s">
        <v>104</v>
      </c>
      <c r="AH632" s="14" t="s">
        <v>94</v>
      </c>
      <c r="AI632" s="14" t="s">
        <v>104</v>
      </c>
      <c r="AJ632" s="14" t="s">
        <v>101</v>
      </c>
      <c r="AK632" s="14" t="s">
        <v>129</v>
      </c>
    </row>
    <row r="633" spans="33:37" x14ac:dyDescent="0.4">
      <c r="AG633" s="14" t="s">
        <v>104</v>
      </c>
      <c r="AH633" s="14" t="s">
        <v>94</v>
      </c>
      <c r="AI633" s="14" t="s">
        <v>104</v>
      </c>
      <c r="AJ633" s="56" t="s">
        <v>108</v>
      </c>
      <c r="AK633" s="14" t="s">
        <v>129</v>
      </c>
    </row>
    <row r="634" spans="33:37" x14ac:dyDescent="0.4">
      <c r="AG634" s="14" t="s">
        <v>104</v>
      </c>
      <c r="AH634" s="14" t="s">
        <v>94</v>
      </c>
      <c r="AI634" s="14" t="s">
        <v>104</v>
      </c>
      <c r="AJ634" s="14" t="s">
        <v>94</v>
      </c>
      <c r="AK634" s="14" t="s">
        <v>129</v>
      </c>
    </row>
    <row r="635" spans="33:37" x14ac:dyDescent="0.4">
      <c r="AG635" s="14" t="s">
        <v>104</v>
      </c>
      <c r="AH635" s="14" t="s">
        <v>94</v>
      </c>
      <c r="AI635" s="14" t="s">
        <v>101</v>
      </c>
      <c r="AJ635" s="14" t="s">
        <v>97</v>
      </c>
      <c r="AK635" s="14" t="s">
        <v>98</v>
      </c>
    </row>
    <row r="636" spans="33:37" x14ac:dyDescent="0.4">
      <c r="AG636" s="14" t="s">
        <v>104</v>
      </c>
      <c r="AH636" s="14" t="s">
        <v>94</v>
      </c>
      <c r="AI636" s="14" t="s">
        <v>101</v>
      </c>
      <c r="AJ636" s="14" t="s">
        <v>96</v>
      </c>
      <c r="AK636" s="14" t="s">
        <v>98</v>
      </c>
    </row>
    <row r="637" spans="33:37" x14ac:dyDescent="0.4">
      <c r="AG637" s="14" t="s">
        <v>104</v>
      </c>
      <c r="AH637" s="14" t="s">
        <v>94</v>
      </c>
      <c r="AI637" s="14" t="s">
        <v>101</v>
      </c>
      <c r="AJ637" s="14" t="s">
        <v>104</v>
      </c>
      <c r="AK637" s="14" t="s">
        <v>129</v>
      </c>
    </row>
    <row r="638" spans="33:37" x14ac:dyDescent="0.4">
      <c r="AG638" s="14" t="s">
        <v>104</v>
      </c>
      <c r="AH638" s="14" t="s">
        <v>94</v>
      </c>
      <c r="AI638" s="14" t="s">
        <v>101</v>
      </c>
      <c r="AJ638" s="14" t="s">
        <v>101</v>
      </c>
      <c r="AK638" s="14" t="s">
        <v>129</v>
      </c>
    </row>
    <row r="639" spans="33:37" x14ac:dyDescent="0.4">
      <c r="AG639" s="14" t="s">
        <v>104</v>
      </c>
      <c r="AH639" s="14" t="s">
        <v>94</v>
      </c>
      <c r="AI639" s="14" t="s">
        <v>101</v>
      </c>
      <c r="AJ639" s="56" t="s">
        <v>108</v>
      </c>
      <c r="AK639" s="14" t="s">
        <v>129</v>
      </c>
    </row>
    <row r="640" spans="33:37" x14ac:dyDescent="0.4">
      <c r="AG640" s="14" t="s">
        <v>104</v>
      </c>
      <c r="AH640" s="14" t="s">
        <v>94</v>
      </c>
      <c r="AI640" s="14" t="s">
        <v>101</v>
      </c>
      <c r="AJ640" s="14" t="s">
        <v>94</v>
      </c>
      <c r="AK640" s="14" t="s">
        <v>129</v>
      </c>
    </row>
    <row r="641" spans="33:37" x14ac:dyDescent="0.4">
      <c r="AG641" s="14" t="s">
        <v>104</v>
      </c>
      <c r="AH641" s="14" t="s">
        <v>94</v>
      </c>
      <c r="AI641" s="56" t="s">
        <v>108</v>
      </c>
      <c r="AJ641" s="14" t="s">
        <v>97</v>
      </c>
      <c r="AK641" s="14" t="s">
        <v>98</v>
      </c>
    </row>
    <row r="642" spans="33:37" x14ac:dyDescent="0.4">
      <c r="AG642" s="14" t="s">
        <v>104</v>
      </c>
      <c r="AH642" s="14" t="s">
        <v>94</v>
      </c>
      <c r="AI642" s="56" t="s">
        <v>108</v>
      </c>
      <c r="AJ642" s="14" t="s">
        <v>96</v>
      </c>
      <c r="AK642" s="14" t="s">
        <v>98</v>
      </c>
    </row>
    <row r="643" spans="33:37" x14ac:dyDescent="0.4">
      <c r="AG643" s="14" t="s">
        <v>104</v>
      </c>
      <c r="AH643" s="14" t="s">
        <v>94</v>
      </c>
      <c r="AI643" s="56" t="s">
        <v>108</v>
      </c>
      <c r="AJ643" s="14" t="s">
        <v>104</v>
      </c>
      <c r="AK643" s="14" t="s">
        <v>129</v>
      </c>
    </row>
    <row r="644" spans="33:37" x14ac:dyDescent="0.4">
      <c r="AG644" s="14" t="s">
        <v>104</v>
      </c>
      <c r="AH644" s="14" t="s">
        <v>94</v>
      </c>
      <c r="AI644" s="56" t="s">
        <v>108</v>
      </c>
      <c r="AJ644" s="14" t="s">
        <v>101</v>
      </c>
      <c r="AK644" s="14" t="s">
        <v>129</v>
      </c>
    </row>
    <row r="645" spans="33:37" x14ac:dyDescent="0.4">
      <c r="AG645" s="14" t="s">
        <v>104</v>
      </c>
      <c r="AH645" s="14" t="s">
        <v>94</v>
      </c>
      <c r="AI645" s="56" t="s">
        <v>108</v>
      </c>
      <c r="AJ645" s="56" t="s">
        <v>108</v>
      </c>
      <c r="AK645" s="14" t="s">
        <v>129</v>
      </c>
    </row>
    <row r="646" spans="33:37" x14ac:dyDescent="0.4">
      <c r="AG646" s="14" t="s">
        <v>104</v>
      </c>
      <c r="AH646" s="14" t="s">
        <v>94</v>
      </c>
      <c r="AI646" s="56" t="s">
        <v>108</v>
      </c>
      <c r="AJ646" s="14" t="s">
        <v>94</v>
      </c>
      <c r="AK646" s="14" t="s">
        <v>129</v>
      </c>
    </row>
    <row r="647" spans="33:37" x14ac:dyDescent="0.4">
      <c r="AG647" s="14" t="s">
        <v>104</v>
      </c>
      <c r="AH647" s="14" t="s">
        <v>94</v>
      </c>
      <c r="AI647" s="14" t="s">
        <v>94</v>
      </c>
      <c r="AJ647" s="14" t="s">
        <v>97</v>
      </c>
      <c r="AK647" s="14" t="s">
        <v>98</v>
      </c>
    </row>
    <row r="648" spans="33:37" x14ac:dyDescent="0.4">
      <c r="AG648" s="14" t="s">
        <v>104</v>
      </c>
      <c r="AH648" s="14" t="s">
        <v>94</v>
      </c>
      <c r="AI648" s="14" t="s">
        <v>94</v>
      </c>
      <c r="AJ648" s="14" t="s">
        <v>96</v>
      </c>
      <c r="AK648" s="14" t="s">
        <v>98</v>
      </c>
    </row>
    <row r="649" spans="33:37" x14ac:dyDescent="0.4">
      <c r="AG649" s="14" t="s">
        <v>104</v>
      </c>
      <c r="AH649" s="14" t="s">
        <v>94</v>
      </c>
      <c r="AI649" s="14" t="s">
        <v>94</v>
      </c>
      <c r="AJ649" s="14" t="s">
        <v>104</v>
      </c>
      <c r="AK649" s="14" t="s">
        <v>129</v>
      </c>
    </row>
    <row r="650" spans="33:37" x14ac:dyDescent="0.4">
      <c r="AG650" s="14" t="s">
        <v>104</v>
      </c>
      <c r="AH650" s="14" t="s">
        <v>94</v>
      </c>
      <c r="AI650" s="14" t="s">
        <v>94</v>
      </c>
      <c r="AJ650" s="14" t="s">
        <v>101</v>
      </c>
      <c r="AK650" s="14" t="s">
        <v>129</v>
      </c>
    </row>
    <row r="651" spans="33:37" x14ac:dyDescent="0.4">
      <c r="AG651" s="14" t="s">
        <v>104</v>
      </c>
      <c r="AH651" s="14" t="s">
        <v>94</v>
      </c>
      <c r="AI651" s="14" t="s">
        <v>94</v>
      </c>
      <c r="AJ651" s="56" t="s">
        <v>108</v>
      </c>
      <c r="AK651" s="14" t="s">
        <v>129</v>
      </c>
    </row>
    <row r="652" spans="33:37" x14ac:dyDescent="0.4">
      <c r="AG652" s="14" t="s">
        <v>104</v>
      </c>
      <c r="AH652" s="14" t="s">
        <v>94</v>
      </c>
      <c r="AI652" s="14" t="s">
        <v>94</v>
      </c>
      <c r="AJ652" s="14" t="s">
        <v>94</v>
      </c>
      <c r="AK652" s="14" t="s">
        <v>129</v>
      </c>
    </row>
    <row r="653" spans="33:37" x14ac:dyDescent="0.4">
      <c r="AG653" s="71" t="s">
        <v>101</v>
      </c>
      <c r="AH653" s="71" t="s">
        <v>97</v>
      </c>
      <c r="AI653" s="71" t="s">
        <v>97</v>
      </c>
      <c r="AJ653" s="71" t="s">
        <v>97</v>
      </c>
      <c r="AK653" s="14" t="s">
        <v>98</v>
      </c>
    </row>
    <row r="654" spans="33:37" x14ac:dyDescent="0.4">
      <c r="AG654" s="71" t="s">
        <v>101</v>
      </c>
      <c r="AH654" s="71" t="s">
        <v>97</v>
      </c>
      <c r="AI654" s="71" t="s">
        <v>97</v>
      </c>
      <c r="AJ654" s="71" t="s">
        <v>96</v>
      </c>
      <c r="AK654" s="14" t="s">
        <v>98</v>
      </c>
    </row>
    <row r="655" spans="33:37" x14ac:dyDescent="0.4">
      <c r="AG655" s="71" t="s">
        <v>101</v>
      </c>
      <c r="AH655" s="71" t="s">
        <v>97</v>
      </c>
      <c r="AI655" s="71" t="s">
        <v>97</v>
      </c>
      <c r="AJ655" s="71" t="s">
        <v>104</v>
      </c>
      <c r="AK655" s="14" t="s">
        <v>98</v>
      </c>
    </row>
    <row r="656" spans="33:37" x14ac:dyDescent="0.4">
      <c r="AG656" s="71" t="s">
        <v>101</v>
      </c>
      <c r="AH656" s="71" t="s">
        <v>97</v>
      </c>
      <c r="AI656" s="71" t="s">
        <v>97</v>
      </c>
      <c r="AJ656" s="71" t="s">
        <v>101</v>
      </c>
      <c r="AK656" s="14" t="s">
        <v>98</v>
      </c>
    </row>
    <row r="657" spans="33:37" x14ac:dyDescent="0.4">
      <c r="AG657" s="71" t="s">
        <v>101</v>
      </c>
      <c r="AH657" s="71" t="s">
        <v>97</v>
      </c>
      <c r="AI657" s="71" t="s">
        <v>97</v>
      </c>
      <c r="AJ657" s="72" t="s">
        <v>108</v>
      </c>
      <c r="AK657" s="14" t="s">
        <v>98</v>
      </c>
    </row>
    <row r="658" spans="33:37" x14ac:dyDescent="0.4">
      <c r="AG658" s="71" t="s">
        <v>101</v>
      </c>
      <c r="AH658" s="71" t="s">
        <v>97</v>
      </c>
      <c r="AI658" s="71" t="s">
        <v>97</v>
      </c>
      <c r="AJ658" s="71" t="s">
        <v>94</v>
      </c>
      <c r="AK658" s="14" t="s">
        <v>98</v>
      </c>
    </row>
    <row r="659" spans="33:37" x14ac:dyDescent="0.4">
      <c r="AG659" s="71" t="s">
        <v>101</v>
      </c>
      <c r="AH659" s="71" t="s">
        <v>97</v>
      </c>
      <c r="AI659" s="71" t="s">
        <v>96</v>
      </c>
      <c r="AJ659" s="71" t="s">
        <v>97</v>
      </c>
      <c r="AK659" s="14" t="s">
        <v>98</v>
      </c>
    </row>
    <row r="660" spans="33:37" x14ac:dyDescent="0.4">
      <c r="AG660" s="71" t="s">
        <v>101</v>
      </c>
      <c r="AH660" s="71" t="s">
        <v>97</v>
      </c>
      <c r="AI660" s="71" t="s">
        <v>96</v>
      </c>
      <c r="AJ660" s="71" t="s">
        <v>96</v>
      </c>
      <c r="AK660" s="14" t="s">
        <v>98</v>
      </c>
    </row>
    <row r="661" spans="33:37" x14ac:dyDescent="0.4">
      <c r="AG661" s="71" t="s">
        <v>101</v>
      </c>
      <c r="AH661" s="71" t="s">
        <v>97</v>
      </c>
      <c r="AI661" s="71" t="s">
        <v>96</v>
      </c>
      <c r="AJ661" s="71" t="s">
        <v>104</v>
      </c>
      <c r="AK661" s="14" t="s">
        <v>98</v>
      </c>
    </row>
    <row r="662" spans="33:37" x14ac:dyDescent="0.4">
      <c r="AG662" s="71" t="s">
        <v>101</v>
      </c>
      <c r="AH662" s="71" t="s">
        <v>97</v>
      </c>
      <c r="AI662" s="71" t="s">
        <v>96</v>
      </c>
      <c r="AJ662" s="71" t="s">
        <v>101</v>
      </c>
      <c r="AK662" s="14" t="s">
        <v>98</v>
      </c>
    </row>
    <row r="663" spans="33:37" x14ac:dyDescent="0.4">
      <c r="AG663" s="71" t="s">
        <v>101</v>
      </c>
      <c r="AH663" s="71" t="s">
        <v>97</v>
      </c>
      <c r="AI663" s="71" t="s">
        <v>96</v>
      </c>
      <c r="AJ663" s="72" t="s">
        <v>108</v>
      </c>
      <c r="AK663" s="14" t="s">
        <v>98</v>
      </c>
    </row>
    <row r="664" spans="33:37" x14ac:dyDescent="0.4">
      <c r="AG664" s="71" t="s">
        <v>101</v>
      </c>
      <c r="AH664" s="71" t="s">
        <v>97</v>
      </c>
      <c r="AI664" s="71" t="s">
        <v>96</v>
      </c>
      <c r="AJ664" s="71" t="s">
        <v>94</v>
      </c>
      <c r="AK664" s="14" t="s">
        <v>98</v>
      </c>
    </row>
    <row r="665" spans="33:37" x14ac:dyDescent="0.4">
      <c r="AG665" s="71" t="s">
        <v>101</v>
      </c>
      <c r="AH665" s="71" t="s">
        <v>97</v>
      </c>
      <c r="AI665" s="71" t="s">
        <v>104</v>
      </c>
      <c r="AJ665" s="71" t="s">
        <v>97</v>
      </c>
      <c r="AK665" s="14" t="s">
        <v>98</v>
      </c>
    </row>
    <row r="666" spans="33:37" x14ac:dyDescent="0.4">
      <c r="AG666" s="71" t="s">
        <v>101</v>
      </c>
      <c r="AH666" s="71" t="s">
        <v>97</v>
      </c>
      <c r="AI666" s="71" t="s">
        <v>104</v>
      </c>
      <c r="AJ666" s="71" t="s">
        <v>96</v>
      </c>
      <c r="AK666" s="14" t="s">
        <v>98</v>
      </c>
    </row>
    <row r="667" spans="33:37" x14ac:dyDescent="0.4">
      <c r="AG667" s="71" t="s">
        <v>101</v>
      </c>
      <c r="AH667" s="71" t="s">
        <v>97</v>
      </c>
      <c r="AI667" s="71" t="s">
        <v>104</v>
      </c>
      <c r="AJ667" s="71" t="s">
        <v>104</v>
      </c>
      <c r="AK667" s="14" t="s">
        <v>98</v>
      </c>
    </row>
    <row r="668" spans="33:37" x14ac:dyDescent="0.4">
      <c r="AG668" s="71" t="s">
        <v>101</v>
      </c>
      <c r="AH668" s="71" t="s">
        <v>97</v>
      </c>
      <c r="AI668" s="71" t="s">
        <v>104</v>
      </c>
      <c r="AJ668" s="71" t="s">
        <v>101</v>
      </c>
      <c r="AK668" s="14" t="s">
        <v>98</v>
      </c>
    </row>
    <row r="669" spans="33:37" x14ac:dyDescent="0.4">
      <c r="AG669" s="71" t="s">
        <v>101</v>
      </c>
      <c r="AH669" s="71" t="s">
        <v>97</v>
      </c>
      <c r="AI669" s="71" t="s">
        <v>104</v>
      </c>
      <c r="AJ669" s="72" t="s">
        <v>108</v>
      </c>
      <c r="AK669" s="14" t="s">
        <v>98</v>
      </c>
    </row>
    <row r="670" spans="33:37" x14ac:dyDescent="0.4">
      <c r="AG670" s="71" t="s">
        <v>101</v>
      </c>
      <c r="AH670" s="71" t="s">
        <v>97</v>
      </c>
      <c r="AI670" s="71" t="s">
        <v>104</v>
      </c>
      <c r="AJ670" s="71" t="s">
        <v>94</v>
      </c>
      <c r="AK670" s="14" t="s">
        <v>98</v>
      </c>
    </row>
    <row r="671" spans="33:37" x14ac:dyDescent="0.4">
      <c r="AG671" s="71" t="s">
        <v>101</v>
      </c>
      <c r="AH671" s="71" t="s">
        <v>97</v>
      </c>
      <c r="AI671" s="71" t="s">
        <v>101</v>
      </c>
      <c r="AJ671" s="71" t="s">
        <v>97</v>
      </c>
      <c r="AK671" s="14" t="s">
        <v>98</v>
      </c>
    </row>
    <row r="672" spans="33:37" x14ac:dyDescent="0.4">
      <c r="AG672" s="71" t="s">
        <v>101</v>
      </c>
      <c r="AH672" s="71" t="s">
        <v>97</v>
      </c>
      <c r="AI672" s="71" t="s">
        <v>101</v>
      </c>
      <c r="AJ672" s="71" t="s">
        <v>96</v>
      </c>
      <c r="AK672" s="14" t="s">
        <v>98</v>
      </c>
    </row>
    <row r="673" spans="33:37" x14ac:dyDescent="0.4">
      <c r="AG673" s="71" t="s">
        <v>101</v>
      </c>
      <c r="AH673" s="71" t="s">
        <v>97</v>
      </c>
      <c r="AI673" s="71" t="s">
        <v>101</v>
      </c>
      <c r="AJ673" s="71" t="s">
        <v>104</v>
      </c>
      <c r="AK673" s="14" t="s">
        <v>98</v>
      </c>
    </row>
    <row r="674" spans="33:37" x14ac:dyDescent="0.4">
      <c r="AG674" s="71" t="s">
        <v>101</v>
      </c>
      <c r="AH674" s="71" t="s">
        <v>97</v>
      </c>
      <c r="AI674" s="71" t="s">
        <v>101</v>
      </c>
      <c r="AJ674" s="71" t="s">
        <v>101</v>
      </c>
      <c r="AK674" s="14" t="s">
        <v>98</v>
      </c>
    </row>
    <row r="675" spans="33:37" x14ac:dyDescent="0.4">
      <c r="AG675" s="71" t="s">
        <v>101</v>
      </c>
      <c r="AH675" s="71" t="s">
        <v>97</v>
      </c>
      <c r="AI675" s="71" t="s">
        <v>101</v>
      </c>
      <c r="AJ675" s="72" t="s">
        <v>108</v>
      </c>
      <c r="AK675" s="14" t="s">
        <v>98</v>
      </c>
    </row>
    <row r="676" spans="33:37" x14ac:dyDescent="0.4">
      <c r="AG676" s="71" t="s">
        <v>101</v>
      </c>
      <c r="AH676" s="71" t="s">
        <v>97</v>
      </c>
      <c r="AI676" s="71" t="s">
        <v>101</v>
      </c>
      <c r="AJ676" s="71" t="s">
        <v>94</v>
      </c>
      <c r="AK676" s="14" t="s">
        <v>98</v>
      </c>
    </row>
    <row r="677" spans="33:37" x14ac:dyDescent="0.4">
      <c r="AG677" s="71" t="s">
        <v>101</v>
      </c>
      <c r="AH677" s="71" t="s">
        <v>97</v>
      </c>
      <c r="AI677" s="72" t="s">
        <v>108</v>
      </c>
      <c r="AJ677" s="71" t="s">
        <v>97</v>
      </c>
      <c r="AK677" s="14" t="s">
        <v>98</v>
      </c>
    </row>
    <row r="678" spans="33:37" x14ac:dyDescent="0.4">
      <c r="AG678" s="71" t="s">
        <v>101</v>
      </c>
      <c r="AH678" s="71" t="s">
        <v>97</v>
      </c>
      <c r="AI678" s="72" t="s">
        <v>108</v>
      </c>
      <c r="AJ678" s="71" t="s">
        <v>96</v>
      </c>
      <c r="AK678" s="14" t="s">
        <v>98</v>
      </c>
    </row>
    <row r="679" spans="33:37" x14ac:dyDescent="0.4">
      <c r="AG679" s="71" t="s">
        <v>101</v>
      </c>
      <c r="AH679" s="71" t="s">
        <v>97</v>
      </c>
      <c r="AI679" s="72" t="s">
        <v>108</v>
      </c>
      <c r="AJ679" s="71" t="s">
        <v>104</v>
      </c>
      <c r="AK679" s="14" t="s">
        <v>98</v>
      </c>
    </row>
    <row r="680" spans="33:37" x14ac:dyDescent="0.4">
      <c r="AG680" s="71" t="s">
        <v>101</v>
      </c>
      <c r="AH680" s="71" t="s">
        <v>97</v>
      </c>
      <c r="AI680" s="72" t="s">
        <v>108</v>
      </c>
      <c r="AJ680" s="71" t="s">
        <v>101</v>
      </c>
      <c r="AK680" s="14" t="s">
        <v>98</v>
      </c>
    </row>
    <row r="681" spans="33:37" x14ac:dyDescent="0.4">
      <c r="AG681" s="71" t="s">
        <v>101</v>
      </c>
      <c r="AH681" s="71" t="s">
        <v>97</v>
      </c>
      <c r="AI681" s="72" t="s">
        <v>108</v>
      </c>
      <c r="AJ681" s="72" t="s">
        <v>108</v>
      </c>
      <c r="AK681" s="14" t="s">
        <v>98</v>
      </c>
    </row>
    <row r="682" spans="33:37" x14ac:dyDescent="0.4">
      <c r="AG682" s="71" t="s">
        <v>101</v>
      </c>
      <c r="AH682" s="71" t="s">
        <v>97</v>
      </c>
      <c r="AI682" s="72" t="s">
        <v>108</v>
      </c>
      <c r="AJ682" s="71" t="s">
        <v>94</v>
      </c>
      <c r="AK682" s="14" t="s">
        <v>98</v>
      </c>
    </row>
    <row r="683" spans="33:37" x14ac:dyDescent="0.4">
      <c r="AG683" s="71" t="s">
        <v>101</v>
      </c>
      <c r="AH683" s="71" t="s">
        <v>97</v>
      </c>
      <c r="AI683" s="71" t="s">
        <v>94</v>
      </c>
      <c r="AJ683" s="71" t="s">
        <v>97</v>
      </c>
      <c r="AK683" s="14" t="s">
        <v>98</v>
      </c>
    </row>
    <row r="684" spans="33:37" x14ac:dyDescent="0.4">
      <c r="AG684" s="71" t="s">
        <v>101</v>
      </c>
      <c r="AH684" s="71" t="s">
        <v>97</v>
      </c>
      <c r="AI684" s="71" t="s">
        <v>94</v>
      </c>
      <c r="AJ684" s="71" t="s">
        <v>96</v>
      </c>
      <c r="AK684" s="14" t="s">
        <v>98</v>
      </c>
    </row>
    <row r="685" spans="33:37" x14ac:dyDescent="0.4">
      <c r="AG685" s="71" t="s">
        <v>101</v>
      </c>
      <c r="AH685" s="71" t="s">
        <v>97</v>
      </c>
      <c r="AI685" s="71" t="s">
        <v>94</v>
      </c>
      <c r="AJ685" s="71" t="s">
        <v>104</v>
      </c>
      <c r="AK685" s="14" t="s">
        <v>98</v>
      </c>
    </row>
    <row r="686" spans="33:37" x14ac:dyDescent="0.4">
      <c r="AG686" s="71" t="s">
        <v>101</v>
      </c>
      <c r="AH686" s="71" t="s">
        <v>97</v>
      </c>
      <c r="AI686" s="71" t="s">
        <v>94</v>
      </c>
      <c r="AJ686" s="71" t="s">
        <v>101</v>
      </c>
      <c r="AK686" s="14" t="s">
        <v>98</v>
      </c>
    </row>
    <row r="687" spans="33:37" x14ac:dyDescent="0.4">
      <c r="AG687" s="71" t="s">
        <v>101</v>
      </c>
      <c r="AH687" s="71" t="s">
        <v>97</v>
      </c>
      <c r="AI687" s="71" t="s">
        <v>94</v>
      </c>
      <c r="AJ687" s="72" t="s">
        <v>108</v>
      </c>
      <c r="AK687" s="14" t="s">
        <v>98</v>
      </c>
    </row>
    <row r="688" spans="33:37" x14ac:dyDescent="0.4">
      <c r="AG688" s="71" t="s">
        <v>101</v>
      </c>
      <c r="AH688" s="71" t="s">
        <v>97</v>
      </c>
      <c r="AI688" s="71" t="s">
        <v>94</v>
      </c>
      <c r="AJ688" s="71" t="s">
        <v>94</v>
      </c>
      <c r="AK688" s="14" t="s">
        <v>98</v>
      </c>
    </row>
    <row r="689" spans="33:37" x14ac:dyDescent="0.4">
      <c r="AG689" s="71" t="s">
        <v>101</v>
      </c>
      <c r="AH689" s="71" t="s">
        <v>96</v>
      </c>
      <c r="AI689" s="71" t="s">
        <v>97</v>
      </c>
      <c r="AJ689" s="71" t="s">
        <v>97</v>
      </c>
      <c r="AK689" s="14" t="s">
        <v>98</v>
      </c>
    </row>
    <row r="690" spans="33:37" x14ac:dyDescent="0.4">
      <c r="AG690" s="71" t="s">
        <v>101</v>
      </c>
      <c r="AH690" s="71" t="s">
        <v>96</v>
      </c>
      <c r="AI690" s="71" t="s">
        <v>97</v>
      </c>
      <c r="AJ690" s="71" t="s">
        <v>96</v>
      </c>
      <c r="AK690" s="14" t="s">
        <v>98</v>
      </c>
    </row>
    <row r="691" spans="33:37" x14ac:dyDescent="0.4">
      <c r="AG691" s="71" t="s">
        <v>101</v>
      </c>
      <c r="AH691" s="71" t="s">
        <v>96</v>
      </c>
      <c r="AI691" s="71" t="s">
        <v>97</v>
      </c>
      <c r="AJ691" s="71" t="s">
        <v>104</v>
      </c>
      <c r="AK691" s="14" t="s">
        <v>98</v>
      </c>
    </row>
    <row r="692" spans="33:37" x14ac:dyDescent="0.4">
      <c r="AG692" s="71" t="s">
        <v>101</v>
      </c>
      <c r="AH692" s="71" t="s">
        <v>96</v>
      </c>
      <c r="AI692" s="71" t="s">
        <v>97</v>
      </c>
      <c r="AJ692" s="71" t="s">
        <v>101</v>
      </c>
      <c r="AK692" s="14" t="s">
        <v>98</v>
      </c>
    </row>
    <row r="693" spans="33:37" x14ac:dyDescent="0.4">
      <c r="AG693" s="71" t="s">
        <v>101</v>
      </c>
      <c r="AH693" s="71" t="s">
        <v>96</v>
      </c>
      <c r="AI693" s="71" t="s">
        <v>97</v>
      </c>
      <c r="AJ693" s="72" t="s">
        <v>108</v>
      </c>
      <c r="AK693" s="14" t="s">
        <v>98</v>
      </c>
    </row>
    <row r="694" spans="33:37" x14ac:dyDescent="0.4">
      <c r="AG694" s="71" t="s">
        <v>101</v>
      </c>
      <c r="AH694" s="71" t="s">
        <v>96</v>
      </c>
      <c r="AI694" s="71" t="s">
        <v>97</v>
      </c>
      <c r="AJ694" s="71" t="s">
        <v>94</v>
      </c>
      <c r="AK694" s="14" t="s">
        <v>98</v>
      </c>
    </row>
    <row r="695" spans="33:37" x14ac:dyDescent="0.4">
      <c r="AG695" s="71" t="s">
        <v>101</v>
      </c>
      <c r="AH695" s="71" t="s">
        <v>96</v>
      </c>
      <c r="AI695" s="71" t="s">
        <v>96</v>
      </c>
      <c r="AJ695" s="71" t="s">
        <v>97</v>
      </c>
      <c r="AK695" s="14" t="s">
        <v>98</v>
      </c>
    </row>
    <row r="696" spans="33:37" x14ac:dyDescent="0.4">
      <c r="AG696" s="71" t="s">
        <v>101</v>
      </c>
      <c r="AH696" s="71" t="s">
        <v>96</v>
      </c>
      <c r="AI696" s="71" t="s">
        <v>96</v>
      </c>
      <c r="AJ696" s="71" t="s">
        <v>96</v>
      </c>
      <c r="AK696" s="14" t="s">
        <v>98</v>
      </c>
    </row>
    <row r="697" spans="33:37" x14ac:dyDescent="0.4">
      <c r="AG697" s="71" t="s">
        <v>101</v>
      </c>
      <c r="AH697" s="71" t="s">
        <v>96</v>
      </c>
      <c r="AI697" s="71" t="s">
        <v>96</v>
      </c>
      <c r="AJ697" s="71" t="s">
        <v>104</v>
      </c>
      <c r="AK697" s="14" t="s">
        <v>98</v>
      </c>
    </row>
    <row r="698" spans="33:37" x14ac:dyDescent="0.4">
      <c r="AG698" s="71" t="s">
        <v>101</v>
      </c>
      <c r="AH698" s="71" t="s">
        <v>96</v>
      </c>
      <c r="AI698" s="71" t="s">
        <v>96</v>
      </c>
      <c r="AJ698" s="71" t="s">
        <v>101</v>
      </c>
      <c r="AK698" s="14" t="s">
        <v>98</v>
      </c>
    </row>
    <row r="699" spans="33:37" x14ac:dyDescent="0.4">
      <c r="AG699" s="71" t="s">
        <v>101</v>
      </c>
      <c r="AH699" s="71" t="s">
        <v>96</v>
      </c>
      <c r="AI699" s="71" t="s">
        <v>96</v>
      </c>
      <c r="AJ699" s="72" t="s">
        <v>108</v>
      </c>
      <c r="AK699" s="14" t="s">
        <v>98</v>
      </c>
    </row>
    <row r="700" spans="33:37" x14ac:dyDescent="0.4">
      <c r="AG700" s="71" t="s">
        <v>101</v>
      </c>
      <c r="AH700" s="71" t="s">
        <v>96</v>
      </c>
      <c r="AI700" s="71" t="s">
        <v>96</v>
      </c>
      <c r="AJ700" s="71" t="s">
        <v>94</v>
      </c>
      <c r="AK700" s="14" t="s">
        <v>98</v>
      </c>
    </row>
    <row r="701" spans="33:37" x14ac:dyDescent="0.4">
      <c r="AG701" s="71" t="s">
        <v>101</v>
      </c>
      <c r="AH701" s="71" t="s">
        <v>96</v>
      </c>
      <c r="AI701" s="71" t="s">
        <v>104</v>
      </c>
      <c r="AJ701" s="71" t="s">
        <v>97</v>
      </c>
      <c r="AK701" s="14" t="s">
        <v>98</v>
      </c>
    </row>
    <row r="702" spans="33:37" x14ac:dyDescent="0.4">
      <c r="AG702" s="71" t="s">
        <v>101</v>
      </c>
      <c r="AH702" s="71" t="s">
        <v>96</v>
      </c>
      <c r="AI702" s="71" t="s">
        <v>104</v>
      </c>
      <c r="AJ702" s="71" t="s">
        <v>96</v>
      </c>
      <c r="AK702" s="14" t="s">
        <v>98</v>
      </c>
    </row>
    <row r="703" spans="33:37" x14ac:dyDescent="0.4">
      <c r="AG703" s="71" t="s">
        <v>101</v>
      </c>
      <c r="AH703" s="71" t="s">
        <v>96</v>
      </c>
      <c r="AI703" s="71" t="s">
        <v>104</v>
      </c>
      <c r="AJ703" s="71" t="s">
        <v>104</v>
      </c>
      <c r="AK703" s="14" t="s">
        <v>98</v>
      </c>
    </row>
    <row r="704" spans="33:37" x14ac:dyDescent="0.4">
      <c r="AG704" s="71" t="s">
        <v>101</v>
      </c>
      <c r="AH704" s="71" t="s">
        <v>96</v>
      </c>
      <c r="AI704" s="71" t="s">
        <v>104</v>
      </c>
      <c r="AJ704" s="71" t="s">
        <v>101</v>
      </c>
      <c r="AK704" s="14" t="s">
        <v>98</v>
      </c>
    </row>
    <row r="705" spans="33:37" x14ac:dyDescent="0.4">
      <c r="AG705" s="71" t="s">
        <v>101</v>
      </c>
      <c r="AH705" s="71" t="s">
        <v>96</v>
      </c>
      <c r="AI705" s="71" t="s">
        <v>104</v>
      </c>
      <c r="AJ705" s="72" t="s">
        <v>108</v>
      </c>
      <c r="AK705" s="14" t="s">
        <v>98</v>
      </c>
    </row>
    <row r="706" spans="33:37" x14ac:dyDescent="0.4">
      <c r="AG706" s="71" t="s">
        <v>101</v>
      </c>
      <c r="AH706" s="71" t="s">
        <v>96</v>
      </c>
      <c r="AI706" s="71" t="s">
        <v>104</v>
      </c>
      <c r="AJ706" s="71" t="s">
        <v>94</v>
      </c>
      <c r="AK706" s="14" t="s">
        <v>98</v>
      </c>
    </row>
    <row r="707" spans="33:37" x14ac:dyDescent="0.4">
      <c r="AG707" s="71" t="s">
        <v>101</v>
      </c>
      <c r="AH707" s="71" t="s">
        <v>96</v>
      </c>
      <c r="AI707" s="71" t="s">
        <v>101</v>
      </c>
      <c r="AJ707" s="71" t="s">
        <v>97</v>
      </c>
      <c r="AK707" s="14" t="s">
        <v>98</v>
      </c>
    </row>
    <row r="708" spans="33:37" x14ac:dyDescent="0.4">
      <c r="AG708" s="71" t="s">
        <v>101</v>
      </c>
      <c r="AH708" s="71" t="s">
        <v>96</v>
      </c>
      <c r="AI708" s="71" t="s">
        <v>101</v>
      </c>
      <c r="AJ708" s="71" t="s">
        <v>96</v>
      </c>
      <c r="AK708" s="14" t="s">
        <v>98</v>
      </c>
    </row>
    <row r="709" spans="33:37" x14ac:dyDescent="0.4">
      <c r="AG709" s="71" t="s">
        <v>101</v>
      </c>
      <c r="AH709" s="71" t="s">
        <v>96</v>
      </c>
      <c r="AI709" s="71" t="s">
        <v>101</v>
      </c>
      <c r="AJ709" s="71" t="s">
        <v>104</v>
      </c>
      <c r="AK709" s="14" t="s">
        <v>98</v>
      </c>
    </row>
    <row r="710" spans="33:37" x14ac:dyDescent="0.4">
      <c r="AG710" s="71" t="s">
        <v>101</v>
      </c>
      <c r="AH710" s="71" t="s">
        <v>96</v>
      </c>
      <c r="AI710" s="71" t="s">
        <v>101</v>
      </c>
      <c r="AJ710" s="71" t="s">
        <v>101</v>
      </c>
      <c r="AK710" s="14" t="s">
        <v>98</v>
      </c>
    </row>
    <row r="711" spans="33:37" x14ac:dyDescent="0.4">
      <c r="AG711" s="71" t="s">
        <v>101</v>
      </c>
      <c r="AH711" s="71" t="s">
        <v>96</v>
      </c>
      <c r="AI711" s="71" t="s">
        <v>101</v>
      </c>
      <c r="AJ711" s="72" t="s">
        <v>108</v>
      </c>
      <c r="AK711" s="14" t="s">
        <v>98</v>
      </c>
    </row>
    <row r="712" spans="33:37" x14ac:dyDescent="0.4">
      <c r="AG712" s="71" t="s">
        <v>101</v>
      </c>
      <c r="AH712" s="71" t="s">
        <v>96</v>
      </c>
      <c r="AI712" s="71" t="s">
        <v>101</v>
      </c>
      <c r="AJ712" s="71" t="s">
        <v>94</v>
      </c>
      <c r="AK712" s="14" t="s">
        <v>98</v>
      </c>
    </row>
    <row r="713" spans="33:37" x14ac:dyDescent="0.4">
      <c r="AG713" s="71" t="s">
        <v>101</v>
      </c>
      <c r="AH713" s="71" t="s">
        <v>96</v>
      </c>
      <c r="AI713" s="72" t="s">
        <v>108</v>
      </c>
      <c r="AJ713" s="71" t="s">
        <v>97</v>
      </c>
      <c r="AK713" s="14" t="s">
        <v>98</v>
      </c>
    </row>
    <row r="714" spans="33:37" x14ac:dyDescent="0.4">
      <c r="AG714" s="71" t="s">
        <v>101</v>
      </c>
      <c r="AH714" s="71" t="s">
        <v>96</v>
      </c>
      <c r="AI714" s="72" t="s">
        <v>108</v>
      </c>
      <c r="AJ714" s="71" t="s">
        <v>96</v>
      </c>
      <c r="AK714" s="14" t="s">
        <v>98</v>
      </c>
    </row>
    <row r="715" spans="33:37" x14ac:dyDescent="0.4">
      <c r="AG715" s="71" t="s">
        <v>101</v>
      </c>
      <c r="AH715" s="71" t="s">
        <v>96</v>
      </c>
      <c r="AI715" s="72" t="s">
        <v>108</v>
      </c>
      <c r="AJ715" s="71" t="s">
        <v>104</v>
      </c>
      <c r="AK715" s="14" t="s">
        <v>98</v>
      </c>
    </row>
    <row r="716" spans="33:37" x14ac:dyDescent="0.4">
      <c r="AG716" s="71" t="s">
        <v>101</v>
      </c>
      <c r="AH716" s="71" t="s">
        <v>96</v>
      </c>
      <c r="AI716" s="72" t="s">
        <v>108</v>
      </c>
      <c r="AJ716" s="71" t="s">
        <v>101</v>
      </c>
      <c r="AK716" s="14" t="s">
        <v>98</v>
      </c>
    </row>
    <row r="717" spans="33:37" x14ac:dyDescent="0.4">
      <c r="AG717" s="71" t="s">
        <v>101</v>
      </c>
      <c r="AH717" s="71" t="s">
        <v>96</v>
      </c>
      <c r="AI717" s="72" t="s">
        <v>108</v>
      </c>
      <c r="AJ717" s="72" t="s">
        <v>108</v>
      </c>
      <c r="AK717" s="14" t="s">
        <v>98</v>
      </c>
    </row>
    <row r="718" spans="33:37" x14ac:dyDescent="0.4">
      <c r="AG718" s="71" t="s">
        <v>101</v>
      </c>
      <c r="AH718" s="71" t="s">
        <v>96</v>
      </c>
      <c r="AI718" s="72" t="s">
        <v>108</v>
      </c>
      <c r="AJ718" s="71" t="s">
        <v>94</v>
      </c>
      <c r="AK718" s="14" t="s">
        <v>98</v>
      </c>
    </row>
    <row r="719" spans="33:37" x14ac:dyDescent="0.4">
      <c r="AG719" s="71" t="s">
        <v>101</v>
      </c>
      <c r="AH719" s="71" t="s">
        <v>96</v>
      </c>
      <c r="AI719" s="71" t="s">
        <v>94</v>
      </c>
      <c r="AJ719" s="71" t="s">
        <v>97</v>
      </c>
      <c r="AK719" s="14" t="s">
        <v>98</v>
      </c>
    </row>
    <row r="720" spans="33:37" x14ac:dyDescent="0.4">
      <c r="AG720" s="71" t="s">
        <v>101</v>
      </c>
      <c r="AH720" s="71" t="s">
        <v>96</v>
      </c>
      <c r="AI720" s="71" t="s">
        <v>94</v>
      </c>
      <c r="AJ720" s="71" t="s">
        <v>96</v>
      </c>
      <c r="AK720" s="14" t="s">
        <v>98</v>
      </c>
    </row>
    <row r="721" spans="33:37" x14ac:dyDescent="0.4">
      <c r="AG721" s="71" t="s">
        <v>101</v>
      </c>
      <c r="AH721" s="71" t="s">
        <v>96</v>
      </c>
      <c r="AI721" s="71" t="s">
        <v>94</v>
      </c>
      <c r="AJ721" s="71" t="s">
        <v>104</v>
      </c>
      <c r="AK721" s="14" t="s">
        <v>98</v>
      </c>
    </row>
    <row r="722" spans="33:37" x14ac:dyDescent="0.4">
      <c r="AG722" s="71" t="s">
        <v>101</v>
      </c>
      <c r="AH722" s="71" t="s">
        <v>96</v>
      </c>
      <c r="AI722" s="71" t="s">
        <v>94</v>
      </c>
      <c r="AJ722" s="71" t="s">
        <v>101</v>
      </c>
      <c r="AK722" s="14" t="s">
        <v>98</v>
      </c>
    </row>
    <row r="723" spans="33:37" x14ac:dyDescent="0.4">
      <c r="AG723" s="71" t="s">
        <v>101</v>
      </c>
      <c r="AH723" s="71" t="s">
        <v>96</v>
      </c>
      <c r="AI723" s="71" t="s">
        <v>94</v>
      </c>
      <c r="AJ723" s="72" t="s">
        <v>108</v>
      </c>
      <c r="AK723" s="14" t="s">
        <v>98</v>
      </c>
    </row>
    <row r="724" spans="33:37" x14ac:dyDescent="0.4">
      <c r="AG724" s="71" t="s">
        <v>101</v>
      </c>
      <c r="AH724" s="71" t="s">
        <v>96</v>
      </c>
      <c r="AI724" s="71" t="s">
        <v>94</v>
      </c>
      <c r="AJ724" s="71" t="s">
        <v>94</v>
      </c>
      <c r="AK724" s="14" t="s">
        <v>98</v>
      </c>
    </row>
    <row r="725" spans="33:37" x14ac:dyDescent="0.4">
      <c r="AG725" s="71" t="s">
        <v>101</v>
      </c>
      <c r="AH725" s="71" t="s">
        <v>104</v>
      </c>
      <c r="AI725" s="71" t="s">
        <v>97</v>
      </c>
      <c r="AJ725" s="71" t="s">
        <v>97</v>
      </c>
      <c r="AK725" s="14" t="s">
        <v>98</v>
      </c>
    </row>
    <row r="726" spans="33:37" x14ac:dyDescent="0.4">
      <c r="AG726" s="71" t="s">
        <v>101</v>
      </c>
      <c r="AH726" s="71" t="s">
        <v>104</v>
      </c>
      <c r="AI726" s="71" t="s">
        <v>97</v>
      </c>
      <c r="AJ726" s="71" t="s">
        <v>96</v>
      </c>
      <c r="AK726" s="14" t="s">
        <v>98</v>
      </c>
    </row>
    <row r="727" spans="33:37" x14ac:dyDescent="0.4">
      <c r="AG727" s="71" t="s">
        <v>101</v>
      </c>
      <c r="AH727" s="71" t="s">
        <v>104</v>
      </c>
      <c r="AI727" s="71" t="s">
        <v>97</v>
      </c>
      <c r="AJ727" s="71" t="s">
        <v>104</v>
      </c>
      <c r="AK727" s="14" t="s">
        <v>98</v>
      </c>
    </row>
    <row r="728" spans="33:37" x14ac:dyDescent="0.4">
      <c r="AG728" s="71" t="s">
        <v>101</v>
      </c>
      <c r="AH728" s="71" t="s">
        <v>104</v>
      </c>
      <c r="AI728" s="71" t="s">
        <v>97</v>
      </c>
      <c r="AJ728" s="71" t="s">
        <v>101</v>
      </c>
      <c r="AK728" s="14" t="s">
        <v>98</v>
      </c>
    </row>
    <row r="729" spans="33:37" x14ac:dyDescent="0.4">
      <c r="AG729" s="71" t="s">
        <v>101</v>
      </c>
      <c r="AH729" s="71" t="s">
        <v>104</v>
      </c>
      <c r="AI729" s="71" t="s">
        <v>97</v>
      </c>
      <c r="AJ729" s="72" t="s">
        <v>108</v>
      </c>
      <c r="AK729" s="14" t="s">
        <v>98</v>
      </c>
    </row>
    <row r="730" spans="33:37" x14ac:dyDescent="0.4">
      <c r="AG730" s="71" t="s">
        <v>101</v>
      </c>
      <c r="AH730" s="71" t="s">
        <v>104</v>
      </c>
      <c r="AI730" s="71" t="s">
        <v>97</v>
      </c>
      <c r="AJ730" s="71" t="s">
        <v>94</v>
      </c>
      <c r="AK730" s="14" t="s">
        <v>98</v>
      </c>
    </row>
    <row r="731" spans="33:37" x14ac:dyDescent="0.4">
      <c r="AG731" s="71" t="s">
        <v>101</v>
      </c>
      <c r="AH731" s="71" t="s">
        <v>104</v>
      </c>
      <c r="AI731" s="71" t="s">
        <v>96</v>
      </c>
      <c r="AJ731" s="71" t="s">
        <v>97</v>
      </c>
      <c r="AK731" s="14" t="s">
        <v>98</v>
      </c>
    </row>
    <row r="732" spans="33:37" x14ac:dyDescent="0.4">
      <c r="AG732" s="71" t="s">
        <v>101</v>
      </c>
      <c r="AH732" s="71" t="s">
        <v>104</v>
      </c>
      <c r="AI732" s="71" t="s">
        <v>96</v>
      </c>
      <c r="AJ732" s="71" t="s">
        <v>96</v>
      </c>
      <c r="AK732" s="14" t="s">
        <v>98</v>
      </c>
    </row>
    <row r="733" spans="33:37" x14ac:dyDescent="0.4">
      <c r="AG733" s="71" t="s">
        <v>101</v>
      </c>
      <c r="AH733" s="71" t="s">
        <v>104</v>
      </c>
      <c r="AI733" s="71" t="s">
        <v>96</v>
      </c>
      <c r="AJ733" s="71" t="s">
        <v>104</v>
      </c>
      <c r="AK733" s="14" t="s">
        <v>98</v>
      </c>
    </row>
    <row r="734" spans="33:37" x14ac:dyDescent="0.4">
      <c r="AG734" s="71" t="s">
        <v>101</v>
      </c>
      <c r="AH734" s="71" t="s">
        <v>104</v>
      </c>
      <c r="AI734" s="71" t="s">
        <v>96</v>
      </c>
      <c r="AJ734" s="71" t="s">
        <v>101</v>
      </c>
      <c r="AK734" s="14" t="s">
        <v>98</v>
      </c>
    </row>
    <row r="735" spans="33:37" x14ac:dyDescent="0.4">
      <c r="AG735" s="71" t="s">
        <v>101</v>
      </c>
      <c r="AH735" s="71" t="s">
        <v>104</v>
      </c>
      <c r="AI735" s="71" t="s">
        <v>96</v>
      </c>
      <c r="AJ735" s="72" t="s">
        <v>108</v>
      </c>
      <c r="AK735" s="14" t="s">
        <v>98</v>
      </c>
    </row>
    <row r="736" spans="33:37" x14ac:dyDescent="0.4">
      <c r="AG736" s="71" t="s">
        <v>101</v>
      </c>
      <c r="AH736" s="71" t="s">
        <v>104</v>
      </c>
      <c r="AI736" s="71" t="s">
        <v>96</v>
      </c>
      <c r="AJ736" s="71" t="s">
        <v>94</v>
      </c>
      <c r="AK736" s="14" t="s">
        <v>98</v>
      </c>
    </row>
    <row r="737" spans="33:37" x14ac:dyDescent="0.4">
      <c r="AG737" s="71" t="s">
        <v>101</v>
      </c>
      <c r="AH737" s="71" t="s">
        <v>104</v>
      </c>
      <c r="AI737" s="71" t="s">
        <v>104</v>
      </c>
      <c r="AJ737" s="71" t="s">
        <v>97</v>
      </c>
      <c r="AK737" s="14" t="s">
        <v>98</v>
      </c>
    </row>
    <row r="738" spans="33:37" x14ac:dyDescent="0.4">
      <c r="AG738" s="71" t="s">
        <v>101</v>
      </c>
      <c r="AH738" s="71" t="s">
        <v>104</v>
      </c>
      <c r="AI738" s="71" t="s">
        <v>104</v>
      </c>
      <c r="AJ738" s="71" t="s">
        <v>96</v>
      </c>
      <c r="AK738" s="14" t="s">
        <v>98</v>
      </c>
    </row>
    <row r="739" spans="33:37" x14ac:dyDescent="0.4">
      <c r="AG739" s="71" t="s">
        <v>101</v>
      </c>
      <c r="AH739" s="71" t="s">
        <v>104</v>
      </c>
      <c r="AI739" s="71" t="s">
        <v>104</v>
      </c>
      <c r="AJ739" s="71" t="s">
        <v>104</v>
      </c>
      <c r="AK739" s="14" t="s">
        <v>98</v>
      </c>
    </row>
    <row r="740" spans="33:37" x14ac:dyDescent="0.4">
      <c r="AG740" s="71" t="s">
        <v>101</v>
      </c>
      <c r="AH740" s="71" t="s">
        <v>104</v>
      </c>
      <c r="AI740" s="71" t="s">
        <v>104</v>
      </c>
      <c r="AJ740" s="71" t="s">
        <v>101</v>
      </c>
      <c r="AK740" s="14" t="s">
        <v>98</v>
      </c>
    </row>
    <row r="741" spans="33:37" x14ac:dyDescent="0.4">
      <c r="AG741" s="71" t="s">
        <v>101</v>
      </c>
      <c r="AH741" s="71" t="s">
        <v>104</v>
      </c>
      <c r="AI741" s="71" t="s">
        <v>104</v>
      </c>
      <c r="AJ741" s="72" t="s">
        <v>108</v>
      </c>
      <c r="AK741" s="14" t="s">
        <v>98</v>
      </c>
    </row>
    <row r="742" spans="33:37" x14ac:dyDescent="0.4">
      <c r="AG742" s="71" t="s">
        <v>101</v>
      </c>
      <c r="AH742" s="71" t="s">
        <v>104</v>
      </c>
      <c r="AI742" s="71" t="s">
        <v>104</v>
      </c>
      <c r="AJ742" s="71" t="s">
        <v>94</v>
      </c>
      <c r="AK742" s="14" t="s">
        <v>98</v>
      </c>
    </row>
    <row r="743" spans="33:37" x14ac:dyDescent="0.4">
      <c r="AG743" s="71" t="s">
        <v>101</v>
      </c>
      <c r="AH743" s="71" t="s">
        <v>104</v>
      </c>
      <c r="AI743" s="71" t="s">
        <v>101</v>
      </c>
      <c r="AJ743" s="71" t="s">
        <v>97</v>
      </c>
      <c r="AK743" s="14" t="s">
        <v>98</v>
      </c>
    </row>
    <row r="744" spans="33:37" x14ac:dyDescent="0.4">
      <c r="AG744" s="71" t="s">
        <v>101</v>
      </c>
      <c r="AH744" s="71" t="s">
        <v>104</v>
      </c>
      <c r="AI744" s="71" t="s">
        <v>101</v>
      </c>
      <c r="AJ744" s="71" t="s">
        <v>96</v>
      </c>
      <c r="AK744" s="14" t="s">
        <v>98</v>
      </c>
    </row>
    <row r="745" spans="33:37" x14ac:dyDescent="0.4">
      <c r="AG745" s="71" t="s">
        <v>101</v>
      </c>
      <c r="AH745" s="71" t="s">
        <v>104</v>
      </c>
      <c r="AI745" s="71" t="s">
        <v>101</v>
      </c>
      <c r="AJ745" s="71" t="s">
        <v>104</v>
      </c>
      <c r="AK745" s="14" t="s">
        <v>98</v>
      </c>
    </row>
    <row r="746" spans="33:37" x14ac:dyDescent="0.4">
      <c r="AG746" s="71" t="s">
        <v>101</v>
      </c>
      <c r="AH746" s="71" t="s">
        <v>104</v>
      </c>
      <c r="AI746" s="71" t="s">
        <v>101</v>
      </c>
      <c r="AJ746" s="71" t="s">
        <v>101</v>
      </c>
      <c r="AK746" s="14" t="s">
        <v>129</v>
      </c>
    </row>
    <row r="747" spans="33:37" x14ac:dyDescent="0.4">
      <c r="AG747" s="71" t="s">
        <v>101</v>
      </c>
      <c r="AH747" s="71" t="s">
        <v>104</v>
      </c>
      <c r="AI747" s="71" t="s">
        <v>101</v>
      </c>
      <c r="AJ747" s="72" t="s">
        <v>108</v>
      </c>
      <c r="AK747" s="14" t="s">
        <v>129</v>
      </c>
    </row>
    <row r="748" spans="33:37" x14ac:dyDescent="0.4">
      <c r="AG748" s="71" t="s">
        <v>101</v>
      </c>
      <c r="AH748" s="71" t="s">
        <v>104</v>
      </c>
      <c r="AI748" s="71" t="s">
        <v>101</v>
      </c>
      <c r="AJ748" s="71" t="s">
        <v>94</v>
      </c>
      <c r="AK748" s="14" t="s">
        <v>129</v>
      </c>
    </row>
    <row r="749" spans="33:37" x14ac:dyDescent="0.4">
      <c r="AG749" s="71" t="s">
        <v>101</v>
      </c>
      <c r="AH749" s="71" t="s">
        <v>104</v>
      </c>
      <c r="AI749" s="72" t="s">
        <v>108</v>
      </c>
      <c r="AJ749" s="71" t="s">
        <v>97</v>
      </c>
      <c r="AK749" s="14" t="s">
        <v>98</v>
      </c>
    </row>
    <row r="750" spans="33:37" x14ac:dyDescent="0.4">
      <c r="AG750" s="71" t="s">
        <v>101</v>
      </c>
      <c r="AH750" s="71" t="s">
        <v>104</v>
      </c>
      <c r="AI750" s="72" t="s">
        <v>108</v>
      </c>
      <c r="AJ750" s="71" t="s">
        <v>96</v>
      </c>
      <c r="AK750" s="14" t="s">
        <v>98</v>
      </c>
    </row>
    <row r="751" spans="33:37" x14ac:dyDescent="0.4">
      <c r="AG751" s="71" t="s">
        <v>101</v>
      </c>
      <c r="AH751" s="71" t="s">
        <v>104</v>
      </c>
      <c r="AI751" s="72" t="s">
        <v>108</v>
      </c>
      <c r="AJ751" s="71" t="s">
        <v>104</v>
      </c>
      <c r="AK751" s="14" t="s">
        <v>98</v>
      </c>
    </row>
    <row r="752" spans="33:37" x14ac:dyDescent="0.4">
      <c r="AG752" s="71" t="s">
        <v>101</v>
      </c>
      <c r="AH752" s="71" t="s">
        <v>104</v>
      </c>
      <c r="AI752" s="72" t="s">
        <v>108</v>
      </c>
      <c r="AJ752" s="71" t="s">
        <v>101</v>
      </c>
      <c r="AK752" s="14" t="s">
        <v>129</v>
      </c>
    </row>
    <row r="753" spans="33:37" x14ac:dyDescent="0.4">
      <c r="AG753" s="71" t="s">
        <v>101</v>
      </c>
      <c r="AH753" s="71" t="s">
        <v>104</v>
      </c>
      <c r="AI753" s="72" t="s">
        <v>108</v>
      </c>
      <c r="AJ753" s="72" t="s">
        <v>108</v>
      </c>
      <c r="AK753" s="14" t="s">
        <v>129</v>
      </c>
    </row>
    <row r="754" spans="33:37" x14ac:dyDescent="0.4">
      <c r="AG754" s="71" t="s">
        <v>101</v>
      </c>
      <c r="AH754" s="71" t="s">
        <v>104</v>
      </c>
      <c r="AI754" s="72" t="s">
        <v>108</v>
      </c>
      <c r="AJ754" s="71" t="s">
        <v>94</v>
      </c>
      <c r="AK754" s="14" t="s">
        <v>129</v>
      </c>
    </row>
    <row r="755" spans="33:37" x14ac:dyDescent="0.4">
      <c r="AG755" s="71" t="s">
        <v>101</v>
      </c>
      <c r="AH755" s="71" t="s">
        <v>104</v>
      </c>
      <c r="AI755" s="71" t="s">
        <v>94</v>
      </c>
      <c r="AJ755" s="71" t="s">
        <v>97</v>
      </c>
      <c r="AK755" s="14" t="s">
        <v>98</v>
      </c>
    </row>
    <row r="756" spans="33:37" x14ac:dyDescent="0.4">
      <c r="AG756" s="71" t="s">
        <v>101</v>
      </c>
      <c r="AH756" s="71" t="s">
        <v>104</v>
      </c>
      <c r="AI756" s="71" t="s">
        <v>94</v>
      </c>
      <c r="AJ756" s="71" t="s">
        <v>96</v>
      </c>
      <c r="AK756" s="14" t="s">
        <v>98</v>
      </c>
    </row>
    <row r="757" spans="33:37" x14ac:dyDescent="0.4">
      <c r="AG757" s="71" t="s">
        <v>101</v>
      </c>
      <c r="AH757" s="71" t="s">
        <v>104</v>
      </c>
      <c r="AI757" s="71" t="s">
        <v>94</v>
      </c>
      <c r="AJ757" s="71" t="s">
        <v>104</v>
      </c>
      <c r="AK757" s="14" t="s">
        <v>98</v>
      </c>
    </row>
    <row r="758" spans="33:37" x14ac:dyDescent="0.4">
      <c r="AG758" s="71" t="s">
        <v>101</v>
      </c>
      <c r="AH758" s="71" t="s">
        <v>104</v>
      </c>
      <c r="AI758" s="71" t="s">
        <v>94</v>
      </c>
      <c r="AJ758" s="71" t="s">
        <v>101</v>
      </c>
      <c r="AK758" s="14" t="s">
        <v>129</v>
      </c>
    </row>
    <row r="759" spans="33:37" x14ac:dyDescent="0.4">
      <c r="AG759" s="71" t="s">
        <v>101</v>
      </c>
      <c r="AH759" s="71" t="s">
        <v>104</v>
      </c>
      <c r="AI759" s="71" t="s">
        <v>94</v>
      </c>
      <c r="AJ759" s="72" t="s">
        <v>108</v>
      </c>
      <c r="AK759" s="14" t="s">
        <v>129</v>
      </c>
    </row>
    <row r="760" spans="33:37" x14ac:dyDescent="0.4">
      <c r="AG760" s="71" t="s">
        <v>101</v>
      </c>
      <c r="AH760" s="71" t="s">
        <v>104</v>
      </c>
      <c r="AI760" s="71" t="s">
        <v>94</v>
      </c>
      <c r="AJ760" s="71" t="s">
        <v>94</v>
      </c>
      <c r="AK760" s="14" t="s">
        <v>129</v>
      </c>
    </row>
    <row r="761" spans="33:37" x14ac:dyDescent="0.4">
      <c r="AG761" s="71" t="s">
        <v>101</v>
      </c>
      <c r="AH761" s="71" t="s">
        <v>101</v>
      </c>
      <c r="AI761" s="71" t="s">
        <v>97</v>
      </c>
      <c r="AJ761" s="71" t="s">
        <v>97</v>
      </c>
      <c r="AK761" s="14" t="s">
        <v>98</v>
      </c>
    </row>
    <row r="762" spans="33:37" x14ac:dyDescent="0.4">
      <c r="AG762" s="71" t="s">
        <v>101</v>
      </c>
      <c r="AH762" s="71" t="s">
        <v>101</v>
      </c>
      <c r="AI762" s="71" t="s">
        <v>97</v>
      </c>
      <c r="AJ762" s="71" t="s">
        <v>96</v>
      </c>
      <c r="AK762" s="14" t="s">
        <v>98</v>
      </c>
    </row>
    <row r="763" spans="33:37" x14ac:dyDescent="0.4">
      <c r="AG763" s="71" t="s">
        <v>101</v>
      </c>
      <c r="AH763" s="71" t="s">
        <v>101</v>
      </c>
      <c r="AI763" s="71" t="s">
        <v>97</v>
      </c>
      <c r="AJ763" s="71" t="s">
        <v>104</v>
      </c>
      <c r="AK763" s="14" t="s">
        <v>98</v>
      </c>
    </row>
    <row r="764" spans="33:37" x14ac:dyDescent="0.4">
      <c r="AG764" s="71" t="s">
        <v>101</v>
      </c>
      <c r="AH764" s="71" t="s">
        <v>101</v>
      </c>
      <c r="AI764" s="71" t="s">
        <v>97</v>
      </c>
      <c r="AJ764" s="71" t="s">
        <v>101</v>
      </c>
      <c r="AK764" s="14" t="s">
        <v>98</v>
      </c>
    </row>
    <row r="765" spans="33:37" x14ac:dyDescent="0.4">
      <c r="AG765" s="71" t="s">
        <v>101</v>
      </c>
      <c r="AH765" s="71" t="s">
        <v>101</v>
      </c>
      <c r="AI765" s="71" t="s">
        <v>97</v>
      </c>
      <c r="AJ765" s="72" t="s">
        <v>108</v>
      </c>
      <c r="AK765" s="14" t="s">
        <v>98</v>
      </c>
    </row>
    <row r="766" spans="33:37" x14ac:dyDescent="0.4">
      <c r="AG766" s="71" t="s">
        <v>101</v>
      </c>
      <c r="AH766" s="71" t="s">
        <v>101</v>
      </c>
      <c r="AI766" s="71" t="s">
        <v>97</v>
      </c>
      <c r="AJ766" s="71" t="s">
        <v>94</v>
      </c>
      <c r="AK766" s="14" t="s">
        <v>98</v>
      </c>
    </row>
    <row r="767" spans="33:37" x14ac:dyDescent="0.4">
      <c r="AG767" s="71" t="s">
        <v>101</v>
      </c>
      <c r="AH767" s="71" t="s">
        <v>101</v>
      </c>
      <c r="AI767" s="71" t="s">
        <v>96</v>
      </c>
      <c r="AJ767" s="71" t="s">
        <v>97</v>
      </c>
      <c r="AK767" s="14" t="s">
        <v>98</v>
      </c>
    </row>
    <row r="768" spans="33:37" x14ac:dyDescent="0.4">
      <c r="AG768" s="71" t="s">
        <v>101</v>
      </c>
      <c r="AH768" s="71" t="s">
        <v>101</v>
      </c>
      <c r="AI768" s="71" t="s">
        <v>96</v>
      </c>
      <c r="AJ768" s="71" t="s">
        <v>96</v>
      </c>
      <c r="AK768" s="14" t="s">
        <v>98</v>
      </c>
    </row>
    <row r="769" spans="33:37" x14ac:dyDescent="0.4">
      <c r="AG769" s="71" t="s">
        <v>101</v>
      </c>
      <c r="AH769" s="71" t="s">
        <v>101</v>
      </c>
      <c r="AI769" s="71" t="s">
        <v>96</v>
      </c>
      <c r="AJ769" s="71" t="s">
        <v>104</v>
      </c>
      <c r="AK769" s="14" t="s">
        <v>98</v>
      </c>
    </row>
    <row r="770" spans="33:37" x14ac:dyDescent="0.4">
      <c r="AG770" s="71" t="s">
        <v>101</v>
      </c>
      <c r="AH770" s="71" t="s">
        <v>101</v>
      </c>
      <c r="AI770" s="71" t="s">
        <v>96</v>
      </c>
      <c r="AJ770" s="71" t="s">
        <v>101</v>
      </c>
      <c r="AK770" s="14" t="s">
        <v>98</v>
      </c>
    </row>
    <row r="771" spans="33:37" x14ac:dyDescent="0.4">
      <c r="AG771" s="71" t="s">
        <v>101</v>
      </c>
      <c r="AH771" s="71" t="s">
        <v>101</v>
      </c>
      <c r="AI771" s="71" t="s">
        <v>96</v>
      </c>
      <c r="AJ771" s="72" t="s">
        <v>108</v>
      </c>
      <c r="AK771" s="14" t="s">
        <v>98</v>
      </c>
    </row>
    <row r="772" spans="33:37" x14ac:dyDescent="0.4">
      <c r="AG772" s="71" t="s">
        <v>101</v>
      </c>
      <c r="AH772" s="71" t="s">
        <v>101</v>
      </c>
      <c r="AI772" s="71" t="s">
        <v>96</v>
      </c>
      <c r="AJ772" s="71" t="s">
        <v>94</v>
      </c>
      <c r="AK772" s="14" t="s">
        <v>98</v>
      </c>
    </row>
    <row r="773" spans="33:37" x14ac:dyDescent="0.4">
      <c r="AG773" s="71" t="s">
        <v>101</v>
      </c>
      <c r="AH773" s="71" t="s">
        <v>101</v>
      </c>
      <c r="AI773" s="71" t="s">
        <v>104</v>
      </c>
      <c r="AJ773" s="71" t="s">
        <v>97</v>
      </c>
      <c r="AK773" s="14" t="s">
        <v>98</v>
      </c>
    </row>
    <row r="774" spans="33:37" x14ac:dyDescent="0.4">
      <c r="AG774" s="71" t="s">
        <v>101</v>
      </c>
      <c r="AH774" s="71" t="s">
        <v>101</v>
      </c>
      <c r="AI774" s="71" t="s">
        <v>104</v>
      </c>
      <c r="AJ774" s="71" t="s">
        <v>96</v>
      </c>
      <c r="AK774" s="14" t="s">
        <v>98</v>
      </c>
    </row>
    <row r="775" spans="33:37" x14ac:dyDescent="0.4">
      <c r="AG775" s="71" t="s">
        <v>101</v>
      </c>
      <c r="AH775" s="71" t="s">
        <v>101</v>
      </c>
      <c r="AI775" s="71" t="s">
        <v>104</v>
      </c>
      <c r="AJ775" s="71" t="s">
        <v>104</v>
      </c>
      <c r="AK775" s="14" t="s">
        <v>98</v>
      </c>
    </row>
    <row r="776" spans="33:37" x14ac:dyDescent="0.4">
      <c r="AG776" s="71" t="s">
        <v>101</v>
      </c>
      <c r="AH776" s="71" t="s">
        <v>101</v>
      </c>
      <c r="AI776" s="71" t="s">
        <v>104</v>
      </c>
      <c r="AJ776" s="71" t="s">
        <v>101</v>
      </c>
      <c r="AK776" s="14" t="s">
        <v>98</v>
      </c>
    </row>
    <row r="777" spans="33:37" x14ac:dyDescent="0.4">
      <c r="AG777" s="71" t="s">
        <v>101</v>
      </c>
      <c r="AH777" s="71" t="s">
        <v>101</v>
      </c>
      <c r="AI777" s="71" t="s">
        <v>104</v>
      </c>
      <c r="AJ777" s="72" t="s">
        <v>108</v>
      </c>
      <c r="AK777" s="14" t="s">
        <v>98</v>
      </c>
    </row>
    <row r="778" spans="33:37" x14ac:dyDescent="0.4">
      <c r="AG778" s="71" t="s">
        <v>101</v>
      </c>
      <c r="AH778" s="71" t="s">
        <v>101</v>
      </c>
      <c r="AI778" s="71" t="s">
        <v>104</v>
      </c>
      <c r="AJ778" s="71" t="s">
        <v>94</v>
      </c>
      <c r="AK778" s="14" t="s">
        <v>98</v>
      </c>
    </row>
    <row r="779" spans="33:37" x14ac:dyDescent="0.4">
      <c r="AG779" s="71" t="s">
        <v>101</v>
      </c>
      <c r="AH779" s="71" t="s">
        <v>101</v>
      </c>
      <c r="AI779" s="71" t="s">
        <v>101</v>
      </c>
      <c r="AJ779" s="71" t="s">
        <v>97</v>
      </c>
      <c r="AK779" s="14" t="s">
        <v>98</v>
      </c>
    </row>
    <row r="780" spans="33:37" x14ac:dyDescent="0.4">
      <c r="AG780" s="71" t="s">
        <v>101</v>
      </c>
      <c r="AH780" s="71" t="s">
        <v>101</v>
      </c>
      <c r="AI780" s="71" t="s">
        <v>101</v>
      </c>
      <c r="AJ780" s="71" t="s">
        <v>96</v>
      </c>
      <c r="AK780" s="14" t="s">
        <v>98</v>
      </c>
    </row>
    <row r="781" spans="33:37" x14ac:dyDescent="0.4">
      <c r="AG781" s="71" t="s">
        <v>101</v>
      </c>
      <c r="AH781" s="71" t="s">
        <v>101</v>
      </c>
      <c r="AI781" s="71" t="s">
        <v>101</v>
      </c>
      <c r="AJ781" s="71" t="s">
        <v>104</v>
      </c>
      <c r="AK781" s="14" t="s">
        <v>98</v>
      </c>
    </row>
    <row r="782" spans="33:37" x14ac:dyDescent="0.4">
      <c r="AG782" s="71" t="s">
        <v>101</v>
      </c>
      <c r="AH782" s="71" t="s">
        <v>101</v>
      </c>
      <c r="AI782" s="71" t="s">
        <v>101</v>
      </c>
      <c r="AJ782" s="71" t="s">
        <v>101</v>
      </c>
      <c r="AK782" s="14" t="s">
        <v>129</v>
      </c>
    </row>
    <row r="783" spans="33:37" x14ac:dyDescent="0.4">
      <c r="AG783" s="71" t="s">
        <v>101</v>
      </c>
      <c r="AH783" s="71" t="s">
        <v>101</v>
      </c>
      <c r="AI783" s="71" t="s">
        <v>101</v>
      </c>
      <c r="AJ783" s="72" t="s">
        <v>108</v>
      </c>
      <c r="AK783" s="14" t="s">
        <v>129</v>
      </c>
    </row>
    <row r="784" spans="33:37" x14ac:dyDescent="0.4">
      <c r="AG784" s="71" t="s">
        <v>101</v>
      </c>
      <c r="AH784" s="71" t="s">
        <v>101</v>
      </c>
      <c r="AI784" s="71" t="s">
        <v>101</v>
      </c>
      <c r="AJ784" s="71" t="s">
        <v>94</v>
      </c>
      <c r="AK784" s="14" t="s">
        <v>129</v>
      </c>
    </row>
    <row r="785" spans="33:37" x14ac:dyDescent="0.4">
      <c r="AG785" s="71" t="s">
        <v>101</v>
      </c>
      <c r="AH785" s="71" t="s">
        <v>101</v>
      </c>
      <c r="AI785" s="72" t="s">
        <v>108</v>
      </c>
      <c r="AJ785" s="71" t="s">
        <v>97</v>
      </c>
      <c r="AK785" s="14" t="s">
        <v>98</v>
      </c>
    </row>
    <row r="786" spans="33:37" x14ac:dyDescent="0.4">
      <c r="AG786" s="71" t="s">
        <v>101</v>
      </c>
      <c r="AH786" s="71" t="s">
        <v>101</v>
      </c>
      <c r="AI786" s="72" t="s">
        <v>108</v>
      </c>
      <c r="AJ786" s="71" t="s">
        <v>96</v>
      </c>
      <c r="AK786" s="14" t="s">
        <v>98</v>
      </c>
    </row>
    <row r="787" spans="33:37" x14ac:dyDescent="0.4">
      <c r="AG787" s="71" t="s">
        <v>101</v>
      </c>
      <c r="AH787" s="71" t="s">
        <v>101</v>
      </c>
      <c r="AI787" s="72" t="s">
        <v>108</v>
      </c>
      <c r="AJ787" s="71" t="s">
        <v>104</v>
      </c>
      <c r="AK787" s="14" t="s">
        <v>98</v>
      </c>
    </row>
    <row r="788" spans="33:37" x14ac:dyDescent="0.4">
      <c r="AG788" s="71" t="s">
        <v>101</v>
      </c>
      <c r="AH788" s="71" t="s">
        <v>101</v>
      </c>
      <c r="AI788" s="72" t="s">
        <v>108</v>
      </c>
      <c r="AJ788" s="71" t="s">
        <v>101</v>
      </c>
      <c r="AK788" s="14" t="s">
        <v>129</v>
      </c>
    </row>
    <row r="789" spans="33:37" x14ac:dyDescent="0.4">
      <c r="AG789" s="71" t="s">
        <v>101</v>
      </c>
      <c r="AH789" s="71" t="s">
        <v>101</v>
      </c>
      <c r="AI789" s="72" t="s">
        <v>108</v>
      </c>
      <c r="AJ789" s="72" t="s">
        <v>108</v>
      </c>
      <c r="AK789" s="14" t="s">
        <v>129</v>
      </c>
    </row>
    <row r="790" spans="33:37" x14ac:dyDescent="0.4">
      <c r="AG790" s="71" t="s">
        <v>101</v>
      </c>
      <c r="AH790" s="71" t="s">
        <v>101</v>
      </c>
      <c r="AI790" s="72" t="s">
        <v>108</v>
      </c>
      <c r="AJ790" s="71" t="s">
        <v>94</v>
      </c>
      <c r="AK790" s="14" t="s">
        <v>129</v>
      </c>
    </row>
    <row r="791" spans="33:37" x14ac:dyDescent="0.4">
      <c r="AG791" s="71" t="s">
        <v>101</v>
      </c>
      <c r="AH791" s="71" t="s">
        <v>101</v>
      </c>
      <c r="AI791" s="71" t="s">
        <v>94</v>
      </c>
      <c r="AJ791" s="71" t="s">
        <v>97</v>
      </c>
      <c r="AK791" s="14" t="s">
        <v>98</v>
      </c>
    </row>
    <row r="792" spans="33:37" x14ac:dyDescent="0.4">
      <c r="AG792" s="71" t="s">
        <v>101</v>
      </c>
      <c r="AH792" s="71" t="s">
        <v>101</v>
      </c>
      <c r="AI792" s="71" t="s">
        <v>94</v>
      </c>
      <c r="AJ792" s="71" t="s">
        <v>96</v>
      </c>
      <c r="AK792" s="14" t="s">
        <v>98</v>
      </c>
    </row>
    <row r="793" spans="33:37" x14ac:dyDescent="0.4">
      <c r="AG793" s="71" t="s">
        <v>101</v>
      </c>
      <c r="AH793" s="71" t="s">
        <v>101</v>
      </c>
      <c r="AI793" s="71" t="s">
        <v>94</v>
      </c>
      <c r="AJ793" s="71" t="s">
        <v>104</v>
      </c>
      <c r="AK793" s="14" t="s">
        <v>98</v>
      </c>
    </row>
    <row r="794" spans="33:37" x14ac:dyDescent="0.4">
      <c r="AG794" s="71" t="s">
        <v>101</v>
      </c>
      <c r="AH794" s="71" t="s">
        <v>101</v>
      </c>
      <c r="AI794" s="71" t="s">
        <v>94</v>
      </c>
      <c r="AJ794" s="71" t="s">
        <v>101</v>
      </c>
      <c r="AK794" s="14" t="s">
        <v>129</v>
      </c>
    </row>
    <row r="795" spans="33:37" x14ac:dyDescent="0.4">
      <c r="AG795" s="71" t="s">
        <v>101</v>
      </c>
      <c r="AH795" s="71" t="s">
        <v>101</v>
      </c>
      <c r="AI795" s="71" t="s">
        <v>94</v>
      </c>
      <c r="AJ795" s="72" t="s">
        <v>108</v>
      </c>
      <c r="AK795" s="14" t="s">
        <v>129</v>
      </c>
    </row>
    <row r="796" spans="33:37" x14ac:dyDescent="0.4">
      <c r="AG796" s="71" t="s">
        <v>101</v>
      </c>
      <c r="AH796" s="71" t="s">
        <v>101</v>
      </c>
      <c r="AI796" s="71" t="s">
        <v>94</v>
      </c>
      <c r="AJ796" s="71" t="s">
        <v>94</v>
      </c>
      <c r="AK796" s="14" t="s">
        <v>129</v>
      </c>
    </row>
    <row r="797" spans="33:37" x14ac:dyDescent="0.4">
      <c r="AG797" s="71" t="s">
        <v>101</v>
      </c>
      <c r="AH797" s="72" t="s">
        <v>108</v>
      </c>
      <c r="AI797" s="71" t="s">
        <v>97</v>
      </c>
      <c r="AJ797" s="71" t="s">
        <v>97</v>
      </c>
      <c r="AK797" s="14" t="s">
        <v>98</v>
      </c>
    </row>
    <row r="798" spans="33:37" x14ac:dyDescent="0.4">
      <c r="AG798" s="71" t="s">
        <v>101</v>
      </c>
      <c r="AH798" s="72" t="s">
        <v>108</v>
      </c>
      <c r="AI798" s="71" t="s">
        <v>97</v>
      </c>
      <c r="AJ798" s="71" t="s">
        <v>96</v>
      </c>
      <c r="AK798" s="14" t="s">
        <v>98</v>
      </c>
    </row>
    <row r="799" spans="33:37" x14ac:dyDescent="0.4">
      <c r="AG799" s="71" t="s">
        <v>101</v>
      </c>
      <c r="AH799" s="72" t="s">
        <v>108</v>
      </c>
      <c r="AI799" s="71" t="s">
        <v>97</v>
      </c>
      <c r="AJ799" s="71" t="s">
        <v>104</v>
      </c>
      <c r="AK799" s="14" t="s">
        <v>98</v>
      </c>
    </row>
    <row r="800" spans="33:37" x14ac:dyDescent="0.4">
      <c r="AG800" s="71" t="s">
        <v>101</v>
      </c>
      <c r="AH800" s="72" t="s">
        <v>108</v>
      </c>
      <c r="AI800" s="71" t="s">
        <v>97</v>
      </c>
      <c r="AJ800" s="71" t="s">
        <v>101</v>
      </c>
      <c r="AK800" s="14" t="s">
        <v>98</v>
      </c>
    </row>
    <row r="801" spans="33:37" x14ac:dyDescent="0.4">
      <c r="AG801" s="71" t="s">
        <v>101</v>
      </c>
      <c r="AH801" s="72" t="s">
        <v>108</v>
      </c>
      <c r="AI801" s="71" t="s">
        <v>97</v>
      </c>
      <c r="AJ801" s="72" t="s">
        <v>108</v>
      </c>
      <c r="AK801" s="14" t="s">
        <v>98</v>
      </c>
    </row>
    <row r="802" spans="33:37" x14ac:dyDescent="0.4">
      <c r="AG802" s="71" t="s">
        <v>101</v>
      </c>
      <c r="AH802" s="72" t="s">
        <v>108</v>
      </c>
      <c r="AI802" s="71" t="s">
        <v>97</v>
      </c>
      <c r="AJ802" s="71" t="s">
        <v>94</v>
      </c>
      <c r="AK802" s="14" t="s">
        <v>98</v>
      </c>
    </row>
    <row r="803" spans="33:37" x14ac:dyDescent="0.4">
      <c r="AG803" s="71" t="s">
        <v>101</v>
      </c>
      <c r="AH803" s="72" t="s">
        <v>108</v>
      </c>
      <c r="AI803" s="71" t="s">
        <v>96</v>
      </c>
      <c r="AJ803" s="71" t="s">
        <v>97</v>
      </c>
      <c r="AK803" s="14" t="s">
        <v>98</v>
      </c>
    </row>
    <row r="804" spans="33:37" x14ac:dyDescent="0.4">
      <c r="AG804" s="71" t="s">
        <v>101</v>
      </c>
      <c r="AH804" s="72" t="s">
        <v>108</v>
      </c>
      <c r="AI804" s="71" t="s">
        <v>96</v>
      </c>
      <c r="AJ804" s="71" t="s">
        <v>96</v>
      </c>
      <c r="AK804" s="14" t="s">
        <v>98</v>
      </c>
    </row>
    <row r="805" spans="33:37" x14ac:dyDescent="0.4">
      <c r="AG805" s="71" t="s">
        <v>101</v>
      </c>
      <c r="AH805" s="72" t="s">
        <v>108</v>
      </c>
      <c r="AI805" s="71" t="s">
        <v>96</v>
      </c>
      <c r="AJ805" s="71" t="s">
        <v>104</v>
      </c>
      <c r="AK805" s="14" t="s">
        <v>98</v>
      </c>
    </row>
    <row r="806" spans="33:37" x14ac:dyDescent="0.4">
      <c r="AG806" s="71" t="s">
        <v>101</v>
      </c>
      <c r="AH806" s="72" t="s">
        <v>108</v>
      </c>
      <c r="AI806" s="71" t="s">
        <v>96</v>
      </c>
      <c r="AJ806" s="71" t="s">
        <v>101</v>
      </c>
      <c r="AK806" s="14" t="s">
        <v>98</v>
      </c>
    </row>
    <row r="807" spans="33:37" x14ac:dyDescent="0.4">
      <c r="AG807" s="71" t="s">
        <v>101</v>
      </c>
      <c r="AH807" s="72" t="s">
        <v>108</v>
      </c>
      <c r="AI807" s="71" t="s">
        <v>96</v>
      </c>
      <c r="AJ807" s="72" t="s">
        <v>108</v>
      </c>
      <c r="AK807" s="14" t="s">
        <v>98</v>
      </c>
    </row>
    <row r="808" spans="33:37" x14ac:dyDescent="0.4">
      <c r="AG808" s="71" t="s">
        <v>101</v>
      </c>
      <c r="AH808" s="72" t="s">
        <v>108</v>
      </c>
      <c r="AI808" s="71" t="s">
        <v>96</v>
      </c>
      <c r="AJ808" s="71" t="s">
        <v>94</v>
      </c>
      <c r="AK808" s="14" t="s">
        <v>98</v>
      </c>
    </row>
    <row r="809" spans="33:37" x14ac:dyDescent="0.4">
      <c r="AG809" s="71" t="s">
        <v>101</v>
      </c>
      <c r="AH809" s="72" t="s">
        <v>108</v>
      </c>
      <c r="AI809" s="71" t="s">
        <v>104</v>
      </c>
      <c r="AJ809" s="71" t="s">
        <v>97</v>
      </c>
      <c r="AK809" s="14" t="s">
        <v>98</v>
      </c>
    </row>
    <row r="810" spans="33:37" x14ac:dyDescent="0.4">
      <c r="AG810" s="71" t="s">
        <v>101</v>
      </c>
      <c r="AH810" s="72" t="s">
        <v>108</v>
      </c>
      <c r="AI810" s="71" t="s">
        <v>104</v>
      </c>
      <c r="AJ810" s="71" t="s">
        <v>96</v>
      </c>
      <c r="AK810" s="14" t="s">
        <v>98</v>
      </c>
    </row>
    <row r="811" spans="33:37" x14ac:dyDescent="0.4">
      <c r="AG811" s="71" t="s">
        <v>101</v>
      </c>
      <c r="AH811" s="72" t="s">
        <v>108</v>
      </c>
      <c r="AI811" s="71" t="s">
        <v>104</v>
      </c>
      <c r="AJ811" s="71" t="s">
        <v>104</v>
      </c>
      <c r="AK811" s="14" t="s">
        <v>98</v>
      </c>
    </row>
    <row r="812" spans="33:37" x14ac:dyDescent="0.4">
      <c r="AG812" s="71" t="s">
        <v>101</v>
      </c>
      <c r="AH812" s="72" t="s">
        <v>108</v>
      </c>
      <c r="AI812" s="71" t="s">
        <v>104</v>
      </c>
      <c r="AJ812" s="71" t="s">
        <v>101</v>
      </c>
      <c r="AK812" s="14" t="s">
        <v>98</v>
      </c>
    </row>
    <row r="813" spans="33:37" x14ac:dyDescent="0.4">
      <c r="AG813" s="71" t="s">
        <v>101</v>
      </c>
      <c r="AH813" s="72" t="s">
        <v>108</v>
      </c>
      <c r="AI813" s="71" t="s">
        <v>104</v>
      </c>
      <c r="AJ813" s="72" t="s">
        <v>108</v>
      </c>
      <c r="AK813" s="14" t="s">
        <v>98</v>
      </c>
    </row>
    <row r="814" spans="33:37" x14ac:dyDescent="0.4">
      <c r="AG814" s="71" t="s">
        <v>101</v>
      </c>
      <c r="AH814" s="72" t="s">
        <v>108</v>
      </c>
      <c r="AI814" s="71" t="s">
        <v>104</v>
      </c>
      <c r="AJ814" s="71" t="s">
        <v>94</v>
      </c>
      <c r="AK814" s="14" t="s">
        <v>98</v>
      </c>
    </row>
    <row r="815" spans="33:37" x14ac:dyDescent="0.4">
      <c r="AG815" s="71" t="s">
        <v>101</v>
      </c>
      <c r="AH815" s="72" t="s">
        <v>108</v>
      </c>
      <c r="AI815" s="71" t="s">
        <v>101</v>
      </c>
      <c r="AJ815" s="71" t="s">
        <v>97</v>
      </c>
      <c r="AK815" s="14" t="s">
        <v>98</v>
      </c>
    </row>
    <row r="816" spans="33:37" x14ac:dyDescent="0.4">
      <c r="AG816" s="71" t="s">
        <v>101</v>
      </c>
      <c r="AH816" s="72" t="s">
        <v>108</v>
      </c>
      <c r="AI816" s="71" t="s">
        <v>101</v>
      </c>
      <c r="AJ816" s="71" t="s">
        <v>96</v>
      </c>
      <c r="AK816" s="14" t="s">
        <v>98</v>
      </c>
    </row>
    <row r="817" spans="33:37" x14ac:dyDescent="0.4">
      <c r="AG817" s="71" t="s">
        <v>101</v>
      </c>
      <c r="AH817" s="72" t="s">
        <v>108</v>
      </c>
      <c r="AI817" s="71" t="s">
        <v>101</v>
      </c>
      <c r="AJ817" s="71" t="s">
        <v>104</v>
      </c>
      <c r="AK817" s="14" t="s">
        <v>98</v>
      </c>
    </row>
    <row r="818" spans="33:37" x14ac:dyDescent="0.4">
      <c r="AG818" s="71" t="s">
        <v>101</v>
      </c>
      <c r="AH818" s="72" t="s">
        <v>108</v>
      </c>
      <c r="AI818" s="71" t="s">
        <v>101</v>
      </c>
      <c r="AJ818" s="71" t="s">
        <v>101</v>
      </c>
      <c r="AK818" s="14" t="s">
        <v>129</v>
      </c>
    </row>
    <row r="819" spans="33:37" x14ac:dyDescent="0.4">
      <c r="AG819" s="71" t="s">
        <v>101</v>
      </c>
      <c r="AH819" s="72" t="s">
        <v>108</v>
      </c>
      <c r="AI819" s="71" t="s">
        <v>101</v>
      </c>
      <c r="AJ819" s="72" t="s">
        <v>108</v>
      </c>
      <c r="AK819" s="14" t="s">
        <v>129</v>
      </c>
    </row>
    <row r="820" spans="33:37" x14ac:dyDescent="0.4">
      <c r="AG820" s="71" t="s">
        <v>101</v>
      </c>
      <c r="AH820" s="72" t="s">
        <v>108</v>
      </c>
      <c r="AI820" s="71" t="s">
        <v>101</v>
      </c>
      <c r="AJ820" s="71" t="s">
        <v>94</v>
      </c>
      <c r="AK820" s="14" t="s">
        <v>129</v>
      </c>
    </row>
    <row r="821" spans="33:37" x14ac:dyDescent="0.4">
      <c r="AG821" s="71" t="s">
        <v>101</v>
      </c>
      <c r="AH821" s="72" t="s">
        <v>108</v>
      </c>
      <c r="AI821" s="72" t="s">
        <v>108</v>
      </c>
      <c r="AJ821" s="71" t="s">
        <v>97</v>
      </c>
      <c r="AK821" s="14" t="s">
        <v>98</v>
      </c>
    </row>
    <row r="822" spans="33:37" x14ac:dyDescent="0.4">
      <c r="AG822" s="71" t="s">
        <v>101</v>
      </c>
      <c r="AH822" s="72" t="s">
        <v>108</v>
      </c>
      <c r="AI822" s="72" t="s">
        <v>108</v>
      </c>
      <c r="AJ822" s="71" t="s">
        <v>96</v>
      </c>
      <c r="AK822" s="14" t="s">
        <v>98</v>
      </c>
    </row>
    <row r="823" spans="33:37" x14ac:dyDescent="0.4">
      <c r="AG823" s="71" t="s">
        <v>101</v>
      </c>
      <c r="AH823" s="72" t="s">
        <v>108</v>
      </c>
      <c r="AI823" s="72" t="s">
        <v>108</v>
      </c>
      <c r="AJ823" s="71" t="s">
        <v>104</v>
      </c>
      <c r="AK823" s="14" t="s">
        <v>98</v>
      </c>
    </row>
    <row r="824" spans="33:37" x14ac:dyDescent="0.4">
      <c r="AG824" s="71" t="s">
        <v>101</v>
      </c>
      <c r="AH824" s="72" t="s">
        <v>108</v>
      </c>
      <c r="AI824" s="72" t="s">
        <v>108</v>
      </c>
      <c r="AJ824" s="71" t="s">
        <v>101</v>
      </c>
      <c r="AK824" s="14" t="s">
        <v>129</v>
      </c>
    </row>
    <row r="825" spans="33:37" x14ac:dyDescent="0.4">
      <c r="AG825" s="71" t="s">
        <v>101</v>
      </c>
      <c r="AH825" s="72" t="s">
        <v>108</v>
      </c>
      <c r="AI825" s="72" t="s">
        <v>108</v>
      </c>
      <c r="AJ825" s="72" t="s">
        <v>108</v>
      </c>
      <c r="AK825" s="14" t="s">
        <v>129</v>
      </c>
    </row>
    <row r="826" spans="33:37" x14ac:dyDescent="0.4">
      <c r="AG826" s="71" t="s">
        <v>101</v>
      </c>
      <c r="AH826" s="72" t="s">
        <v>108</v>
      </c>
      <c r="AI826" s="72" t="s">
        <v>108</v>
      </c>
      <c r="AJ826" s="71" t="s">
        <v>94</v>
      </c>
      <c r="AK826" s="14" t="s">
        <v>129</v>
      </c>
    </row>
    <row r="827" spans="33:37" x14ac:dyDescent="0.4">
      <c r="AG827" s="71" t="s">
        <v>101</v>
      </c>
      <c r="AH827" s="72" t="s">
        <v>108</v>
      </c>
      <c r="AI827" s="71" t="s">
        <v>94</v>
      </c>
      <c r="AJ827" s="71" t="s">
        <v>97</v>
      </c>
      <c r="AK827" s="14" t="s">
        <v>98</v>
      </c>
    </row>
    <row r="828" spans="33:37" x14ac:dyDescent="0.4">
      <c r="AG828" s="71" t="s">
        <v>101</v>
      </c>
      <c r="AH828" s="72" t="s">
        <v>108</v>
      </c>
      <c r="AI828" s="71" t="s">
        <v>94</v>
      </c>
      <c r="AJ828" s="71" t="s">
        <v>96</v>
      </c>
      <c r="AK828" s="14" t="s">
        <v>98</v>
      </c>
    </row>
    <row r="829" spans="33:37" x14ac:dyDescent="0.4">
      <c r="AG829" s="71" t="s">
        <v>101</v>
      </c>
      <c r="AH829" s="72" t="s">
        <v>108</v>
      </c>
      <c r="AI829" s="71" t="s">
        <v>94</v>
      </c>
      <c r="AJ829" s="71" t="s">
        <v>104</v>
      </c>
      <c r="AK829" s="14" t="s">
        <v>98</v>
      </c>
    </row>
    <row r="830" spans="33:37" x14ac:dyDescent="0.4">
      <c r="AG830" s="71" t="s">
        <v>101</v>
      </c>
      <c r="AH830" s="72" t="s">
        <v>108</v>
      </c>
      <c r="AI830" s="71" t="s">
        <v>94</v>
      </c>
      <c r="AJ830" s="71" t="s">
        <v>101</v>
      </c>
      <c r="AK830" s="14" t="s">
        <v>129</v>
      </c>
    </row>
    <row r="831" spans="33:37" x14ac:dyDescent="0.4">
      <c r="AG831" s="71" t="s">
        <v>101</v>
      </c>
      <c r="AH831" s="72" t="s">
        <v>108</v>
      </c>
      <c r="AI831" s="71" t="s">
        <v>94</v>
      </c>
      <c r="AJ831" s="72" t="s">
        <v>108</v>
      </c>
      <c r="AK831" s="14" t="s">
        <v>129</v>
      </c>
    </row>
    <row r="832" spans="33:37" x14ac:dyDescent="0.4">
      <c r="AG832" s="71" t="s">
        <v>101</v>
      </c>
      <c r="AH832" s="72" t="s">
        <v>108</v>
      </c>
      <c r="AI832" s="71" t="s">
        <v>94</v>
      </c>
      <c r="AJ832" s="71" t="s">
        <v>94</v>
      </c>
      <c r="AK832" s="14" t="s">
        <v>129</v>
      </c>
    </row>
    <row r="833" spans="33:37" x14ac:dyDescent="0.4">
      <c r="AG833" s="71" t="s">
        <v>101</v>
      </c>
      <c r="AH833" s="71" t="s">
        <v>94</v>
      </c>
      <c r="AI833" s="71" t="s">
        <v>97</v>
      </c>
      <c r="AJ833" s="71" t="s">
        <v>97</v>
      </c>
      <c r="AK833" s="14" t="s">
        <v>98</v>
      </c>
    </row>
    <row r="834" spans="33:37" x14ac:dyDescent="0.4">
      <c r="AG834" s="71" t="s">
        <v>101</v>
      </c>
      <c r="AH834" s="71" t="s">
        <v>94</v>
      </c>
      <c r="AI834" s="71" t="s">
        <v>97</v>
      </c>
      <c r="AJ834" s="71" t="s">
        <v>96</v>
      </c>
      <c r="AK834" s="14" t="s">
        <v>98</v>
      </c>
    </row>
    <row r="835" spans="33:37" x14ac:dyDescent="0.4">
      <c r="AG835" s="71" t="s">
        <v>101</v>
      </c>
      <c r="AH835" s="71" t="s">
        <v>94</v>
      </c>
      <c r="AI835" s="71" t="s">
        <v>97</v>
      </c>
      <c r="AJ835" s="71" t="s">
        <v>104</v>
      </c>
      <c r="AK835" s="14" t="s">
        <v>98</v>
      </c>
    </row>
    <row r="836" spans="33:37" x14ac:dyDescent="0.4">
      <c r="AG836" s="71" t="s">
        <v>101</v>
      </c>
      <c r="AH836" s="71" t="s">
        <v>94</v>
      </c>
      <c r="AI836" s="71" t="s">
        <v>97</v>
      </c>
      <c r="AJ836" s="71" t="s">
        <v>101</v>
      </c>
      <c r="AK836" s="14" t="s">
        <v>98</v>
      </c>
    </row>
    <row r="837" spans="33:37" x14ac:dyDescent="0.4">
      <c r="AG837" s="71" t="s">
        <v>101</v>
      </c>
      <c r="AH837" s="71" t="s">
        <v>94</v>
      </c>
      <c r="AI837" s="71" t="s">
        <v>97</v>
      </c>
      <c r="AJ837" s="72" t="s">
        <v>108</v>
      </c>
      <c r="AK837" s="14" t="s">
        <v>98</v>
      </c>
    </row>
    <row r="838" spans="33:37" x14ac:dyDescent="0.4">
      <c r="AG838" s="71" t="s">
        <v>101</v>
      </c>
      <c r="AH838" s="71" t="s">
        <v>94</v>
      </c>
      <c r="AI838" s="71" t="s">
        <v>97</v>
      </c>
      <c r="AJ838" s="71" t="s">
        <v>94</v>
      </c>
      <c r="AK838" s="14" t="s">
        <v>98</v>
      </c>
    </row>
    <row r="839" spans="33:37" x14ac:dyDescent="0.4">
      <c r="AG839" s="71" t="s">
        <v>101</v>
      </c>
      <c r="AH839" s="71" t="s">
        <v>94</v>
      </c>
      <c r="AI839" s="71" t="s">
        <v>96</v>
      </c>
      <c r="AJ839" s="71" t="s">
        <v>97</v>
      </c>
      <c r="AK839" s="14" t="s">
        <v>98</v>
      </c>
    </row>
    <row r="840" spans="33:37" x14ac:dyDescent="0.4">
      <c r="AG840" s="71" t="s">
        <v>101</v>
      </c>
      <c r="AH840" s="71" t="s">
        <v>94</v>
      </c>
      <c r="AI840" s="71" t="s">
        <v>96</v>
      </c>
      <c r="AJ840" s="71" t="s">
        <v>96</v>
      </c>
      <c r="AK840" s="14" t="s">
        <v>98</v>
      </c>
    </row>
    <row r="841" spans="33:37" x14ac:dyDescent="0.4">
      <c r="AG841" s="71" t="s">
        <v>101</v>
      </c>
      <c r="AH841" s="71" t="s">
        <v>94</v>
      </c>
      <c r="AI841" s="71" t="s">
        <v>96</v>
      </c>
      <c r="AJ841" s="71" t="s">
        <v>104</v>
      </c>
      <c r="AK841" s="14" t="s">
        <v>98</v>
      </c>
    </row>
    <row r="842" spans="33:37" x14ac:dyDescent="0.4">
      <c r="AG842" s="71" t="s">
        <v>101</v>
      </c>
      <c r="AH842" s="71" t="s">
        <v>94</v>
      </c>
      <c r="AI842" s="71" t="s">
        <v>96</v>
      </c>
      <c r="AJ842" s="71" t="s">
        <v>101</v>
      </c>
      <c r="AK842" s="14" t="s">
        <v>98</v>
      </c>
    </row>
    <row r="843" spans="33:37" x14ac:dyDescent="0.4">
      <c r="AG843" s="71" t="s">
        <v>101</v>
      </c>
      <c r="AH843" s="71" t="s">
        <v>94</v>
      </c>
      <c r="AI843" s="71" t="s">
        <v>96</v>
      </c>
      <c r="AJ843" s="72" t="s">
        <v>108</v>
      </c>
      <c r="AK843" s="14" t="s">
        <v>98</v>
      </c>
    </row>
    <row r="844" spans="33:37" x14ac:dyDescent="0.4">
      <c r="AG844" s="71" t="s">
        <v>101</v>
      </c>
      <c r="AH844" s="71" t="s">
        <v>94</v>
      </c>
      <c r="AI844" s="71" t="s">
        <v>96</v>
      </c>
      <c r="AJ844" s="71" t="s">
        <v>94</v>
      </c>
      <c r="AK844" s="14" t="s">
        <v>98</v>
      </c>
    </row>
    <row r="845" spans="33:37" x14ac:dyDescent="0.4">
      <c r="AG845" s="71" t="s">
        <v>101</v>
      </c>
      <c r="AH845" s="71" t="s">
        <v>94</v>
      </c>
      <c r="AI845" s="71" t="s">
        <v>104</v>
      </c>
      <c r="AJ845" s="71" t="s">
        <v>97</v>
      </c>
      <c r="AK845" s="14" t="s">
        <v>98</v>
      </c>
    </row>
    <row r="846" spans="33:37" x14ac:dyDescent="0.4">
      <c r="AG846" s="71" t="s">
        <v>101</v>
      </c>
      <c r="AH846" s="71" t="s">
        <v>94</v>
      </c>
      <c r="AI846" s="71" t="s">
        <v>104</v>
      </c>
      <c r="AJ846" s="71" t="s">
        <v>96</v>
      </c>
      <c r="AK846" s="14" t="s">
        <v>98</v>
      </c>
    </row>
    <row r="847" spans="33:37" x14ac:dyDescent="0.4">
      <c r="AG847" s="71" t="s">
        <v>101</v>
      </c>
      <c r="AH847" s="71" t="s">
        <v>94</v>
      </c>
      <c r="AI847" s="71" t="s">
        <v>104</v>
      </c>
      <c r="AJ847" s="71" t="s">
        <v>104</v>
      </c>
      <c r="AK847" s="14" t="s">
        <v>98</v>
      </c>
    </row>
    <row r="848" spans="33:37" x14ac:dyDescent="0.4">
      <c r="AG848" s="71" t="s">
        <v>101</v>
      </c>
      <c r="AH848" s="71" t="s">
        <v>94</v>
      </c>
      <c r="AI848" s="71" t="s">
        <v>104</v>
      </c>
      <c r="AJ848" s="71" t="s">
        <v>101</v>
      </c>
      <c r="AK848" s="14" t="s">
        <v>98</v>
      </c>
    </row>
    <row r="849" spans="33:37" x14ac:dyDescent="0.4">
      <c r="AG849" s="71" t="s">
        <v>101</v>
      </c>
      <c r="AH849" s="71" t="s">
        <v>94</v>
      </c>
      <c r="AI849" s="71" t="s">
        <v>104</v>
      </c>
      <c r="AJ849" s="72" t="s">
        <v>108</v>
      </c>
      <c r="AK849" s="14" t="s">
        <v>98</v>
      </c>
    </row>
    <row r="850" spans="33:37" x14ac:dyDescent="0.4">
      <c r="AG850" s="71" t="s">
        <v>101</v>
      </c>
      <c r="AH850" s="71" t="s">
        <v>94</v>
      </c>
      <c r="AI850" s="71" t="s">
        <v>104</v>
      </c>
      <c r="AJ850" s="71" t="s">
        <v>94</v>
      </c>
      <c r="AK850" s="14" t="s">
        <v>98</v>
      </c>
    </row>
    <row r="851" spans="33:37" x14ac:dyDescent="0.4">
      <c r="AG851" s="71" t="s">
        <v>101</v>
      </c>
      <c r="AH851" s="71" t="s">
        <v>94</v>
      </c>
      <c r="AI851" s="71" t="s">
        <v>101</v>
      </c>
      <c r="AJ851" s="71" t="s">
        <v>97</v>
      </c>
      <c r="AK851" s="14" t="s">
        <v>98</v>
      </c>
    </row>
    <row r="852" spans="33:37" x14ac:dyDescent="0.4">
      <c r="AG852" s="71" t="s">
        <v>101</v>
      </c>
      <c r="AH852" s="71" t="s">
        <v>94</v>
      </c>
      <c r="AI852" s="71" t="s">
        <v>101</v>
      </c>
      <c r="AJ852" s="71" t="s">
        <v>96</v>
      </c>
      <c r="AK852" s="14" t="s">
        <v>98</v>
      </c>
    </row>
    <row r="853" spans="33:37" x14ac:dyDescent="0.4">
      <c r="AG853" s="71" t="s">
        <v>101</v>
      </c>
      <c r="AH853" s="71" t="s">
        <v>94</v>
      </c>
      <c r="AI853" s="71" t="s">
        <v>101</v>
      </c>
      <c r="AJ853" s="71" t="s">
        <v>104</v>
      </c>
      <c r="AK853" s="14" t="s">
        <v>98</v>
      </c>
    </row>
    <row r="854" spans="33:37" x14ac:dyDescent="0.4">
      <c r="AG854" s="71" t="s">
        <v>101</v>
      </c>
      <c r="AH854" s="71" t="s">
        <v>94</v>
      </c>
      <c r="AI854" s="71" t="s">
        <v>101</v>
      </c>
      <c r="AJ854" s="71" t="s">
        <v>101</v>
      </c>
      <c r="AK854" s="14" t="s">
        <v>129</v>
      </c>
    </row>
    <row r="855" spans="33:37" x14ac:dyDescent="0.4">
      <c r="AG855" s="71" t="s">
        <v>101</v>
      </c>
      <c r="AH855" s="71" t="s">
        <v>94</v>
      </c>
      <c r="AI855" s="71" t="s">
        <v>101</v>
      </c>
      <c r="AJ855" s="72" t="s">
        <v>108</v>
      </c>
      <c r="AK855" s="14" t="s">
        <v>129</v>
      </c>
    </row>
    <row r="856" spans="33:37" x14ac:dyDescent="0.4">
      <c r="AG856" s="71" t="s">
        <v>101</v>
      </c>
      <c r="AH856" s="71" t="s">
        <v>94</v>
      </c>
      <c r="AI856" s="71" t="s">
        <v>101</v>
      </c>
      <c r="AJ856" s="71" t="s">
        <v>94</v>
      </c>
      <c r="AK856" s="14" t="s">
        <v>129</v>
      </c>
    </row>
    <row r="857" spans="33:37" x14ac:dyDescent="0.4">
      <c r="AG857" s="71" t="s">
        <v>101</v>
      </c>
      <c r="AH857" s="71" t="s">
        <v>94</v>
      </c>
      <c r="AI857" s="72" t="s">
        <v>108</v>
      </c>
      <c r="AJ857" s="71" t="s">
        <v>97</v>
      </c>
      <c r="AK857" s="14" t="s">
        <v>98</v>
      </c>
    </row>
    <row r="858" spans="33:37" x14ac:dyDescent="0.4">
      <c r="AG858" s="71" t="s">
        <v>101</v>
      </c>
      <c r="AH858" s="71" t="s">
        <v>94</v>
      </c>
      <c r="AI858" s="72" t="s">
        <v>108</v>
      </c>
      <c r="AJ858" s="71" t="s">
        <v>96</v>
      </c>
      <c r="AK858" s="14" t="s">
        <v>98</v>
      </c>
    </row>
    <row r="859" spans="33:37" x14ac:dyDescent="0.4">
      <c r="AG859" s="71" t="s">
        <v>101</v>
      </c>
      <c r="AH859" s="71" t="s">
        <v>94</v>
      </c>
      <c r="AI859" s="72" t="s">
        <v>108</v>
      </c>
      <c r="AJ859" s="71" t="s">
        <v>104</v>
      </c>
      <c r="AK859" s="14" t="s">
        <v>98</v>
      </c>
    </row>
    <row r="860" spans="33:37" x14ac:dyDescent="0.4">
      <c r="AG860" s="71" t="s">
        <v>101</v>
      </c>
      <c r="AH860" s="71" t="s">
        <v>94</v>
      </c>
      <c r="AI860" s="72" t="s">
        <v>108</v>
      </c>
      <c r="AJ860" s="71" t="s">
        <v>101</v>
      </c>
      <c r="AK860" s="14" t="s">
        <v>129</v>
      </c>
    </row>
    <row r="861" spans="33:37" x14ac:dyDescent="0.4">
      <c r="AG861" s="71" t="s">
        <v>101</v>
      </c>
      <c r="AH861" s="71" t="s">
        <v>94</v>
      </c>
      <c r="AI861" s="72" t="s">
        <v>108</v>
      </c>
      <c r="AJ861" s="72" t="s">
        <v>108</v>
      </c>
      <c r="AK861" s="14" t="s">
        <v>129</v>
      </c>
    </row>
    <row r="862" spans="33:37" x14ac:dyDescent="0.4">
      <c r="AG862" s="71" t="s">
        <v>101</v>
      </c>
      <c r="AH862" s="71" t="s">
        <v>94</v>
      </c>
      <c r="AI862" s="72" t="s">
        <v>108</v>
      </c>
      <c r="AJ862" s="71" t="s">
        <v>94</v>
      </c>
      <c r="AK862" s="14" t="s">
        <v>129</v>
      </c>
    </row>
    <row r="863" spans="33:37" x14ac:dyDescent="0.4">
      <c r="AG863" s="71" t="s">
        <v>101</v>
      </c>
      <c r="AH863" s="71" t="s">
        <v>94</v>
      </c>
      <c r="AI863" s="71" t="s">
        <v>94</v>
      </c>
      <c r="AJ863" s="71" t="s">
        <v>97</v>
      </c>
      <c r="AK863" s="14" t="s">
        <v>98</v>
      </c>
    </row>
    <row r="864" spans="33:37" x14ac:dyDescent="0.4">
      <c r="AG864" s="71" t="s">
        <v>101</v>
      </c>
      <c r="AH864" s="71" t="s">
        <v>94</v>
      </c>
      <c r="AI864" s="71" t="s">
        <v>94</v>
      </c>
      <c r="AJ864" s="71" t="s">
        <v>96</v>
      </c>
      <c r="AK864" s="14" t="s">
        <v>98</v>
      </c>
    </row>
    <row r="865" spans="33:37" x14ac:dyDescent="0.4">
      <c r="AG865" s="71" t="s">
        <v>101</v>
      </c>
      <c r="AH865" s="71" t="s">
        <v>94</v>
      </c>
      <c r="AI865" s="71" t="s">
        <v>94</v>
      </c>
      <c r="AJ865" s="71" t="s">
        <v>104</v>
      </c>
      <c r="AK865" s="14" t="s">
        <v>98</v>
      </c>
    </row>
    <row r="866" spans="33:37" x14ac:dyDescent="0.4">
      <c r="AG866" s="71" t="s">
        <v>101</v>
      </c>
      <c r="AH866" s="71" t="s">
        <v>94</v>
      </c>
      <c r="AI866" s="71" t="s">
        <v>94</v>
      </c>
      <c r="AJ866" s="71" t="s">
        <v>101</v>
      </c>
      <c r="AK866" s="14" t="s">
        <v>129</v>
      </c>
    </row>
    <row r="867" spans="33:37" x14ac:dyDescent="0.4">
      <c r="AG867" s="71" t="s">
        <v>101</v>
      </c>
      <c r="AH867" s="71" t="s">
        <v>94</v>
      </c>
      <c r="AI867" s="71" t="s">
        <v>94</v>
      </c>
      <c r="AJ867" s="72" t="s">
        <v>108</v>
      </c>
      <c r="AK867" s="14" t="s">
        <v>129</v>
      </c>
    </row>
    <row r="868" spans="33:37" x14ac:dyDescent="0.4">
      <c r="AG868" s="71" t="s">
        <v>101</v>
      </c>
      <c r="AH868" s="71" t="s">
        <v>94</v>
      </c>
      <c r="AI868" s="71" t="s">
        <v>94</v>
      </c>
      <c r="AJ868" s="71" t="s">
        <v>94</v>
      </c>
      <c r="AK868" s="14" t="s">
        <v>129</v>
      </c>
    </row>
    <row r="869" spans="33:37" x14ac:dyDescent="0.4">
      <c r="AG869" s="56" t="s">
        <v>108</v>
      </c>
      <c r="AH869" s="14" t="s">
        <v>97</v>
      </c>
      <c r="AI869" s="14" t="s">
        <v>97</v>
      </c>
      <c r="AJ869" s="14" t="s">
        <v>97</v>
      </c>
      <c r="AK869" s="14" t="s">
        <v>98</v>
      </c>
    </row>
    <row r="870" spans="33:37" x14ac:dyDescent="0.4">
      <c r="AG870" s="56" t="s">
        <v>108</v>
      </c>
      <c r="AH870" s="14" t="s">
        <v>97</v>
      </c>
      <c r="AI870" s="14" t="s">
        <v>97</v>
      </c>
      <c r="AJ870" s="14" t="s">
        <v>96</v>
      </c>
      <c r="AK870" s="14" t="s">
        <v>98</v>
      </c>
    </row>
    <row r="871" spans="33:37" x14ac:dyDescent="0.4">
      <c r="AG871" s="56" t="s">
        <v>108</v>
      </c>
      <c r="AH871" s="14" t="s">
        <v>97</v>
      </c>
      <c r="AI871" s="14" t="s">
        <v>97</v>
      </c>
      <c r="AJ871" s="14" t="s">
        <v>104</v>
      </c>
      <c r="AK871" s="14" t="s">
        <v>98</v>
      </c>
    </row>
    <row r="872" spans="33:37" x14ac:dyDescent="0.4">
      <c r="AG872" s="56" t="s">
        <v>108</v>
      </c>
      <c r="AH872" s="14" t="s">
        <v>97</v>
      </c>
      <c r="AI872" s="14" t="s">
        <v>97</v>
      </c>
      <c r="AJ872" s="14" t="s">
        <v>101</v>
      </c>
      <c r="AK872" s="14" t="s">
        <v>98</v>
      </c>
    </row>
    <row r="873" spans="33:37" x14ac:dyDescent="0.4">
      <c r="AG873" s="56" t="s">
        <v>108</v>
      </c>
      <c r="AH873" s="14" t="s">
        <v>97</v>
      </c>
      <c r="AI873" s="14" t="s">
        <v>97</v>
      </c>
      <c r="AJ873" s="56" t="s">
        <v>108</v>
      </c>
      <c r="AK873" s="14" t="s">
        <v>98</v>
      </c>
    </row>
    <row r="874" spans="33:37" x14ac:dyDescent="0.4">
      <c r="AG874" s="56" t="s">
        <v>108</v>
      </c>
      <c r="AH874" s="14" t="s">
        <v>97</v>
      </c>
      <c r="AI874" s="14" t="s">
        <v>97</v>
      </c>
      <c r="AJ874" s="14" t="s">
        <v>94</v>
      </c>
      <c r="AK874" s="14" t="s">
        <v>98</v>
      </c>
    </row>
    <row r="875" spans="33:37" x14ac:dyDescent="0.4">
      <c r="AG875" s="56" t="s">
        <v>108</v>
      </c>
      <c r="AH875" s="14" t="s">
        <v>97</v>
      </c>
      <c r="AI875" s="14" t="s">
        <v>96</v>
      </c>
      <c r="AJ875" s="14" t="s">
        <v>97</v>
      </c>
      <c r="AK875" s="14" t="s">
        <v>98</v>
      </c>
    </row>
    <row r="876" spans="33:37" x14ac:dyDescent="0.4">
      <c r="AG876" s="56" t="s">
        <v>108</v>
      </c>
      <c r="AH876" s="14" t="s">
        <v>97</v>
      </c>
      <c r="AI876" s="14" t="s">
        <v>96</v>
      </c>
      <c r="AJ876" s="14" t="s">
        <v>96</v>
      </c>
      <c r="AK876" s="14" t="s">
        <v>98</v>
      </c>
    </row>
    <row r="877" spans="33:37" x14ac:dyDescent="0.4">
      <c r="AG877" s="56" t="s">
        <v>108</v>
      </c>
      <c r="AH877" s="14" t="s">
        <v>97</v>
      </c>
      <c r="AI877" s="14" t="s">
        <v>96</v>
      </c>
      <c r="AJ877" s="14" t="s">
        <v>104</v>
      </c>
      <c r="AK877" s="14" t="s">
        <v>98</v>
      </c>
    </row>
    <row r="878" spans="33:37" x14ac:dyDescent="0.4">
      <c r="AG878" s="56" t="s">
        <v>108</v>
      </c>
      <c r="AH878" s="14" t="s">
        <v>97</v>
      </c>
      <c r="AI878" s="14" t="s">
        <v>96</v>
      </c>
      <c r="AJ878" s="14" t="s">
        <v>101</v>
      </c>
      <c r="AK878" s="14" t="s">
        <v>98</v>
      </c>
    </row>
    <row r="879" spans="33:37" x14ac:dyDescent="0.4">
      <c r="AG879" s="56" t="s">
        <v>108</v>
      </c>
      <c r="AH879" s="14" t="s">
        <v>97</v>
      </c>
      <c r="AI879" s="14" t="s">
        <v>96</v>
      </c>
      <c r="AJ879" s="56" t="s">
        <v>108</v>
      </c>
      <c r="AK879" s="14" t="s">
        <v>98</v>
      </c>
    </row>
    <row r="880" spans="33:37" x14ac:dyDescent="0.4">
      <c r="AG880" s="56" t="s">
        <v>108</v>
      </c>
      <c r="AH880" s="14" t="s">
        <v>97</v>
      </c>
      <c r="AI880" s="14" t="s">
        <v>96</v>
      </c>
      <c r="AJ880" s="14" t="s">
        <v>94</v>
      </c>
      <c r="AK880" s="14" t="s">
        <v>98</v>
      </c>
    </row>
    <row r="881" spans="33:37" x14ac:dyDescent="0.4">
      <c r="AG881" s="56" t="s">
        <v>108</v>
      </c>
      <c r="AH881" s="14" t="s">
        <v>97</v>
      </c>
      <c r="AI881" s="14" t="s">
        <v>104</v>
      </c>
      <c r="AJ881" s="14" t="s">
        <v>97</v>
      </c>
      <c r="AK881" s="14" t="s">
        <v>98</v>
      </c>
    </row>
    <row r="882" spans="33:37" x14ac:dyDescent="0.4">
      <c r="AG882" s="56" t="s">
        <v>108</v>
      </c>
      <c r="AH882" s="14" t="s">
        <v>97</v>
      </c>
      <c r="AI882" s="14" t="s">
        <v>104</v>
      </c>
      <c r="AJ882" s="14" t="s">
        <v>96</v>
      </c>
      <c r="AK882" s="14" t="s">
        <v>98</v>
      </c>
    </row>
    <row r="883" spans="33:37" x14ac:dyDescent="0.4">
      <c r="AG883" s="56" t="s">
        <v>108</v>
      </c>
      <c r="AH883" s="14" t="s">
        <v>97</v>
      </c>
      <c r="AI883" s="14" t="s">
        <v>104</v>
      </c>
      <c r="AJ883" s="14" t="s">
        <v>104</v>
      </c>
      <c r="AK883" s="14" t="s">
        <v>98</v>
      </c>
    </row>
    <row r="884" spans="33:37" x14ac:dyDescent="0.4">
      <c r="AG884" s="56" t="s">
        <v>108</v>
      </c>
      <c r="AH884" s="14" t="s">
        <v>97</v>
      </c>
      <c r="AI884" s="14" t="s">
        <v>104</v>
      </c>
      <c r="AJ884" s="14" t="s">
        <v>101</v>
      </c>
      <c r="AK884" s="14" t="s">
        <v>98</v>
      </c>
    </row>
    <row r="885" spans="33:37" x14ac:dyDescent="0.4">
      <c r="AG885" s="56" t="s">
        <v>108</v>
      </c>
      <c r="AH885" s="14" t="s">
        <v>97</v>
      </c>
      <c r="AI885" s="14" t="s">
        <v>104</v>
      </c>
      <c r="AJ885" s="56" t="s">
        <v>108</v>
      </c>
      <c r="AK885" s="14" t="s">
        <v>98</v>
      </c>
    </row>
    <row r="886" spans="33:37" x14ac:dyDescent="0.4">
      <c r="AG886" s="56" t="s">
        <v>108</v>
      </c>
      <c r="AH886" s="14" t="s">
        <v>97</v>
      </c>
      <c r="AI886" s="14" t="s">
        <v>104</v>
      </c>
      <c r="AJ886" s="14" t="s">
        <v>94</v>
      </c>
      <c r="AK886" s="14" t="s">
        <v>98</v>
      </c>
    </row>
    <row r="887" spans="33:37" x14ac:dyDescent="0.4">
      <c r="AG887" s="56" t="s">
        <v>108</v>
      </c>
      <c r="AH887" s="14" t="s">
        <v>97</v>
      </c>
      <c r="AI887" s="14" t="s">
        <v>101</v>
      </c>
      <c r="AJ887" s="14" t="s">
        <v>97</v>
      </c>
      <c r="AK887" s="14" t="s">
        <v>98</v>
      </c>
    </row>
    <row r="888" spans="33:37" x14ac:dyDescent="0.4">
      <c r="AG888" s="56" t="s">
        <v>108</v>
      </c>
      <c r="AH888" s="14" t="s">
        <v>97</v>
      </c>
      <c r="AI888" s="14" t="s">
        <v>101</v>
      </c>
      <c r="AJ888" s="14" t="s">
        <v>96</v>
      </c>
      <c r="AK888" s="14" t="s">
        <v>98</v>
      </c>
    </row>
    <row r="889" spans="33:37" x14ac:dyDescent="0.4">
      <c r="AG889" s="56" t="s">
        <v>108</v>
      </c>
      <c r="AH889" s="14" t="s">
        <v>97</v>
      </c>
      <c r="AI889" s="14" t="s">
        <v>101</v>
      </c>
      <c r="AJ889" s="14" t="s">
        <v>104</v>
      </c>
      <c r="AK889" s="14" t="s">
        <v>98</v>
      </c>
    </row>
    <row r="890" spans="33:37" x14ac:dyDescent="0.4">
      <c r="AG890" s="56" t="s">
        <v>108</v>
      </c>
      <c r="AH890" s="14" t="s">
        <v>97</v>
      </c>
      <c r="AI890" s="14" t="s">
        <v>101</v>
      </c>
      <c r="AJ890" s="14" t="s">
        <v>101</v>
      </c>
      <c r="AK890" s="14" t="s">
        <v>98</v>
      </c>
    </row>
    <row r="891" spans="33:37" x14ac:dyDescent="0.4">
      <c r="AG891" s="56" t="s">
        <v>108</v>
      </c>
      <c r="AH891" s="14" t="s">
        <v>97</v>
      </c>
      <c r="AI891" s="14" t="s">
        <v>101</v>
      </c>
      <c r="AJ891" s="56" t="s">
        <v>108</v>
      </c>
      <c r="AK891" s="14" t="s">
        <v>98</v>
      </c>
    </row>
    <row r="892" spans="33:37" x14ac:dyDescent="0.4">
      <c r="AG892" s="56" t="s">
        <v>108</v>
      </c>
      <c r="AH892" s="14" t="s">
        <v>97</v>
      </c>
      <c r="AI892" s="14" t="s">
        <v>101</v>
      </c>
      <c r="AJ892" s="14" t="s">
        <v>94</v>
      </c>
      <c r="AK892" s="14" t="s">
        <v>98</v>
      </c>
    </row>
    <row r="893" spans="33:37" x14ac:dyDescent="0.4">
      <c r="AG893" s="56" t="s">
        <v>108</v>
      </c>
      <c r="AH893" s="14" t="s">
        <v>97</v>
      </c>
      <c r="AI893" s="56" t="s">
        <v>108</v>
      </c>
      <c r="AJ893" s="14" t="s">
        <v>97</v>
      </c>
      <c r="AK893" s="14" t="s">
        <v>98</v>
      </c>
    </row>
    <row r="894" spans="33:37" x14ac:dyDescent="0.4">
      <c r="AG894" s="56" t="s">
        <v>108</v>
      </c>
      <c r="AH894" s="14" t="s">
        <v>97</v>
      </c>
      <c r="AI894" s="56" t="s">
        <v>108</v>
      </c>
      <c r="AJ894" s="14" t="s">
        <v>96</v>
      </c>
      <c r="AK894" s="14" t="s">
        <v>98</v>
      </c>
    </row>
    <row r="895" spans="33:37" x14ac:dyDescent="0.4">
      <c r="AG895" s="56" t="s">
        <v>108</v>
      </c>
      <c r="AH895" s="14" t="s">
        <v>97</v>
      </c>
      <c r="AI895" s="56" t="s">
        <v>108</v>
      </c>
      <c r="AJ895" s="14" t="s">
        <v>104</v>
      </c>
      <c r="AK895" s="14" t="s">
        <v>98</v>
      </c>
    </row>
    <row r="896" spans="33:37" x14ac:dyDescent="0.4">
      <c r="AG896" s="56" t="s">
        <v>108</v>
      </c>
      <c r="AH896" s="14" t="s">
        <v>97</v>
      </c>
      <c r="AI896" s="56" t="s">
        <v>108</v>
      </c>
      <c r="AJ896" s="14" t="s">
        <v>101</v>
      </c>
      <c r="AK896" s="14" t="s">
        <v>98</v>
      </c>
    </row>
    <row r="897" spans="33:37" x14ac:dyDescent="0.4">
      <c r="AG897" s="56" t="s">
        <v>108</v>
      </c>
      <c r="AH897" s="14" t="s">
        <v>97</v>
      </c>
      <c r="AI897" s="56" t="s">
        <v>108</v>
      </c>
      <c r="AJ897" s="56" t="s">
        <v>108</v>
      </c>
      <c r="AK897" s="14" t="s">
        <v>98</v>
      </c>
    </row>
    <row r="898" spans="33:37" x14ac:dyDescent="0.4">
      <c r="AG898" s="56" t="s">
        <v>108</v>
      </c>
      <c r="AH898" s="14" t="s">
        <v>97</v>
      </c>
      <c r="AI898" s="56" t="s">
        <v>108</v>
      </c>
      <c r="AJ898" s="14" t="s">
        <v>94</v>
      </c>
      <c r="AK898" s="14" t="s">
        <v>98</v>
      </c>
    </row>
    <row r="899" spans="33:37" x14ac:dyDescent="0.4">
      <c r="AG899" s="56" t="s">
        <v>108</v>
      </c>
      <c r="AH899" s="14" t="s">
        <v>97</v>
      </c>
      <c r="AI899" s="14" t="s">
        <v>94</v>
      </c>
      <c r="AJ899" s="14" t="s">
        <v>97</v>
      </c>
      <c r="AK899" s="14" t="s">
        <v>98</v>
      </c>
    </row>
    <row r="900" spans="33:37" x14ac:dyDescent="0.4">
      <c r="AG900" s="56" t="s">
        <v>108</v>
      </c>
      <c r="AH900" s="14" t="s">
        <v>97</v>
      </c>
      <c r="AI900" s="14" t="s">
        <v>94</v>
      </c>
      <c r="AJ900" s="14" t="s">
        <v>96</v>
      </c>
      <c r="AK900" s="14" t="s">
        <v>98</v>
      </c>
    </row>
    <row r="901" spans="33:37" x14ac:dyDescent="0.4">
      <c r="AG901" s="56" t="s">
        <v>108</v>
      </c>
      <c r="AH901" s="14" t="s">
        <v>97</v>
      </c>
      <c r="AI901" s="14" t="s">
        <v>94</v>
      </c>
      <c r="AJ901" s="14" t="s">
        <v>104</v>
      </c>
      <c r="AK901" s="14" t="s">
        <v>98</v>
      </c>
    </row>
    <row r="902" spans="33:37" x14ac:dyDescent="0.4">
      <c r="AG902" s="56" t="s">
        <v>108</v>
      </c>
      <c r="AH902" s="14" t="s">
        <v>97</v>
      </c>
      <c r="AI902" s="14" t="s">
        <v>94</v>
      </c>
      <c r="AJ902" s="14" t="s">
        <v>101</v>
      </c>
      <c r="AK902" s="14" t="s">
        <v>98</v>
      </c>
    </row>
    <row r="903" spans="33:37" x14ac:dyDescent="0.4">
      <c r="AG903" s="56" t="s">
        <v>108</v>
      </c>
      <c r="AH903" s="14" t="s">
        <v>97</v>
      </c>
      <c r="AI903" s="14" t="s">
        <v>94</v>
      </c>
      <c r="AJ903" s="56" t="s">
        <v>108</v>
      </c>
      <c r="AK903" s="14" t="s">
        <v>98</v>
      </c>
    </row>
    <row r="904" spans="33:37" x14ac:dyDescent="0.4">
      <c r="AG904" s="56" t="s">
        <v>108</v>
      </c>
      <c r="AH904" s="14" t="s">
        <v>97</v>
      </c>
      <c r="AI904" s="14" t="s">
        <v>94</v>
      </c>
      <c r="AJ904" s="14" t="s">
        <v>94</v>
      </c>
      <c r="AK904" s="14" t="s">
        <v>98</v>
      </c>
    </row>
    <row r="905" spans="33:37" x14ac:dyDescent="0.4">
      <c r="AG905" s="56" t="s">
        <v>108</v>
      </c>
      <c r="AH905" s="14" t="s">
        <v>96</v>
      </c>
      <c r="AI905" s="14" t="s">
        <v>97</v>
      </c>
      <c r="AJ905" s="14" t="s">
        <v>97</v>
      </c>
      <c r="AK905" s="14" t="s">
        <v>98</v>
      </c>
    </row>
    <row r="906" spans="33:37" x14ac:dyDescent="0.4">
      <c r="AG906" s="56" t="s">
        <v>108</v>
      </c>
      <c r="AH906" s="14" t="s">
        <v>96</v>
      </c>
      <c r="AI906" s="14" t="s">
        <v>97</v>
      </c>
      <c r="AJ906" s="14" t="s">
        <v>96</v>
      </c>
      <c r="AK906" s="14" t="s">
        <v>98</v>
      </c>
    </row>
    <row r="907" spans="33:37" x14ac:dyDescent="0.4">
      <c r="AG907" s="56" t="s">
        <v>108</v>
      </c>
      <c r="AH907" s="14" t="s">
        <v>96</v>
      </c>
      <c r="AI907" s="14" t="s">
        <v>97</v>
      </c>
      <c r="AJ907" s="14" t="s">
        <v>104</v>
      </c>
      <c r="AK907" s="14" t="s">
        <v>98</v>
      </c>
    </row>
    <row r="908" spans="33:37" x14ac:dyDescent="0.4">
      <c r="AG908" s="56" t="s">
        <v>108</v>
      </c>
      <c r="AH908" s="14" t="s">
        <v>96</v>
      </c>
      <c r="AI908" s="14" t="s">
        <v>97</v>
      </c>
      <c r="AJ908" s="14" t="s">
        <v>101</v>
      </c>
      <c r="AK908" s="14" t="s">
        <v>98</v>
      </c>
    </row>
    <row r="909" spans="33:37" x14ac:dyDescent="0.4">
      <c r="AG909" s="56" t="s">
        <v>108</v>
      </c>
      <c r="AH909" s="14" t="s">
        <v>96</v>
      </c>
      <c r="AI909" s="14" t="s">
        <v>97</v>
      </c>
      <c r="AJ909" s="56" t="s">
        <v>108</v>
      </c>
      <c r="AK909" s="14" t="s">
        <v>98</v>
      </c>
    </row>
    <row r="910" spans="33:37" x14ac:dyDescent="0.4">
      <c r="AG910" s="56" t="s">
        <v>108</v>
      </c>
      <c r="AH910" s="14" t="s">
        <v>96</v>
      </c>
      <c r="AI910" s="14" t="s">
        <v>97</v>
      </c>
      <c r="AJ910" s="14" t="s">
        <v>94</v>
      </c>
      <c r="AK910" s="14" t="s">
        <v>98</v>
      </c>
    </row>
    <row r="911" spans="33:37" x14ac:dyDescent="0.4">
      <c r="AG911" s="56" t="s">
        <v>108</v>
      </c>
      <c r="AH911" s="14" t="s">
        <v>96</v>
      </c>
      <c r="AI911" s="14" t="s">
        <v>96</v>
      </c>
      <c r="AJ911" s="14" t="s">
        <v>97</v>
      </c>
      <c r="AK911" s="14" t="s">
        <v>98</v>
      </c>
    </row>
    <row r="912" spans="33:37" x14ac:dyDescent="0.4">
      <c r="AG912" s="56" t="s">
        <v>108</v>
      </c>
      <c r="AH912" s="14" t="s">
        <v>96</v>
      </c>
      <c r="AI912" s="14" t="s">
        <v>96</v>
      </c>
      <c r="AJ912" s="14" t="s">
        <v>96</v>
      </c>
      <c r="AK912" s="14" t="s">
        <v>98</v>
      </c>
    </row>
    <row r="913" spans="33:37" x14ac:dyDescent="0.4">
      <c r="AG913" s="56" t="s">
        <v>108</v>
      </c>
      <c r="AH913" s="14" t="s">
        <v>96</v>
      </c>
      <c r="AI913" s="14" t="s">
        <v>96</v>
      </c>
      <c r="AJ913" s="14" t="s">
        <v>104</v>
      </c>
      <c r="AK913" s="14" t="s">
        <v>98</v>
      </c>
    </row>
    <row r="914" spans="33:37" x14ac:dyDescent="0.4">
      <c r="AG914" s="56" t="s">
        <v>108</v>
      </c>
      <c r="AH914" s="14" t="s">
        <v>96</v>
      </c>
      <c r="AI914" s="14" t="s">
        <v>96</v>
      </c>
      <c r="AJ914" s="14" t="s">
        <v>101</v>
      </c>
      <c r="AK914" s="14" t="s">
        <v>98</v>
      </c>
    </row>
    <row r="915" spans="33:37" x14ac:dyDescent="0.4">
      <c r="AG915" s="56" t="s">
        <v>108</v>
      </c>
      <c r="AH915" s="14" t="s">
        <v>96</v>
      </c>
      <c r="AI915" s="14" t="s">
        <v>96</v>
      </c>
      <c r="AJ915" s="56" t="s">
        <v>108</v>
      </c>
      <c r="AK915" s="14" t="s">
        <v>98</v>
      </c>
    </row>
    <row r="916" spans="33:37" x14ac:dyDescent="0.4">
      <c r="AG916" s="56" t="s">
        <v>108</v>
      </c>
      <c r="AH916" s="14" t="s">
        <v>96</v>
      </c>
      <c r="AI916" s="14" t="s">
        <v>96</v>
      </c>
      <c r="AJ916" s="14" t="s">
        <v>94</v>
      </c>
      <c r="AK916" s="14" t="s">
        <v>98</v>
      </c>
    </row>
    <row r="917" spans="33:37" x14ac:dyDescent="0.4">
      <c r="AG917" s="56" t="s">
        <v>108</v>
      </c>
      <c r="AH917" s="14" t="s">
        <v>96</v>
      </c>
      <c r="AI917" s="14" t="s">
        <v>104</v>
      </c>
      <c r="AJ917" s="14" t="s">
        <v>97</v>
      </c>
      <c r="AK917" s="14" t="s">
        <v>98</v>
      </c>
    </row>
    <row r="918" spans="33:37" x14ac:dyDescent="0.4">
      <c r="AG918" s="56" t="s">
        <v>108</v>
      </c>
      <c r="AH918" s="14" t="s">
        <v>96</v>
      </c>
      <c r="AI918" s="14" t="s">
        <v>104</v>
      </c>
      <c r="AJ918" s="14" t="s">
        <v>96</v>
      </c>
      <c r="AK918" s="14" t="s">
        <v>98</v>
      </c>
    </row>
    <row r="919" spans="33:37" x14ac:dyDescent="0.4">
      <c r="AG919" s="56" t="s">
        <v>108</v>
      </c>
      <c r="AH919" s="14" t="s">
        <v>96</v>
      </c>
      <c r="AI919" s="14" t="s">
        <v>104</v>
      </c>
      <c r="AJ919" s="14" t="s">
        <v>104</v>
      </c>
      <c r="AK919" s="14" t="s">
        <v>98</v>
      </c>
    </row>
    <row r="920" spans="33:37" x14ac:dyDescent="0.4">
      <c r="AG920" s="56" t="s">
        <v>108</v>
      </c>
      <c r="AH920" s="14" t="s">
        <v>96</v>
      </c>
      <c r="AI920" s="14" t="s">
        <v>104</v>
      </c>
      <c r="AJ920" s="14" t="s">
        <v>101</v>
      </c>
      <c r="AK920" s="14" t="s">
        <v>98</v>
      </c>
    </row>
    <row r="921" spans="33:37" x14ac:dyDescent="0.4">
      <c r="AG921" s="56" t="s">
        <v>108</v>
      </c>
      <c r="AH921" s="14" t="s">
        <v>96</v>
      </c>
      <c r="AI921" s="14" t="s">
        <v>104</v>
      </c>
      <c r="AJ921" s="56" t="s">
        <v>108</v>
      </c>
      <c r="AK921" s="14" t="s">
        <v>98</v>
      </c>
    </row>
    <row r="922" spans="33:37" x14ac:dyDescent="0.4">
      <c r="AG922" s="56" t="s">
        <v>108</v>
      </c>
      <c r="AH922" s="14" t="s">
        <v>96</v>
      </c>
      <c r="AI922" s="14" t="s">
        <v>104</v>
      </c>
      <c r="AJ922" s="14" t="s">
        <v>94</v>
      </c>
      <c r="AK922" s="14" t="s">
        <v>98</v>
      </c>
    </row>
    <row r="923" spans="33:37" x14ac:dyDescent="0.4">
      <c r="AG923" s="56" t="s">
        <v>108</v>
      </c>
      <c r="AH923" s="14" t="s">
        <v>96</v>
      </c>
      <c r="AI923" s="14" t="s">
        <v>101</v>
      </c>
      <c r="AJ923" s="14" t="s">
        <v>97</v>
      </c>
      <c r="AK923" s="14" t="s">
        <v>98</v>
      </c>
    </row>
    <row r="924" spans="33:37" x14ac:dyDescent="0.4">
      <c r="AG924" s="56" t="s">
        <v>108</v>
      </c>
      <c r="AH924" s="14" t="s">
        <v>96</v>
      </c>
      <c r="AI924" s="14" t="s">
        <v>101</v>
      </c>
      <c r="AJ924" s="14" t="s">
        <v>96</v>
      </c>
      <c r="AK924" s="14" t="s">
        <v>98</v>
      </c>
    </row>
    <row r="925" spans="33:37" x14ac:dyDescent="0.4">
      <c r="AG925" s="56" t="s">
        <v>108</v>
      </c>
      <c r="AH925" s="14" t="s">
        <v>96</v>
      </c>
      <c r="AI925" s="14" t="s">
        <v>101</v>
      </c>
      <c r="AJ925" s="14" t="s">
        <v>104</v>
      </c>
      <c r="AK925" s="14" t="s">
        <v>98</v>
      </c>
    </row>
    <row r="926" spans="33:37" x14ac:dyDescent="0.4">
      <c r="AG926" s="56" t="s">
        <v>108</v>
      </c>
      <c r="AH926" s="14" t="s">
        <v>96</v>
      </c>
      <c r="AI926" s="14" t="s">
        <v>101</v>
      </c>
      <c r="AJ926" s="14" t="s">
        <v>101</v>
      </c>
      <c r="AK926" s="14" t="s">
        <v>98</v>
      </c>
    </row>
    <row r="927" spans="33:37" x14ac:dyDescent="0.4">
      <c r="AG927" s="56" t="s">
        <v>108</v>
      </c>
      <c r="AH927" s="14" t="s">
        <v>96</v>
      </c>
      <c r="AI927" s="14" t="s">
        <v>101</v>
      </c>
      <c r="AJ927" s="56" t="s">
        <v>108</v>
      </c>
      <c r="AK927" s="14" t="s">
        <v>98</v>
      </c>
    </row>
    <row r="928" spans="33:37" x14ac:dyDescent="0.4">
      <c r="AG928" s="56" t="s">
        <v>108</v>
      </c>
      <c r="AH928" s="14" t="s">
        <v>96</v>
      </c>
      <c r="AI928" s="14" t="s">
        <v>101</v>
      </c>
      <c r="AJ928" s="14" t="s">
        <v>94</v>
      </c>
      <c r="AK928" s="14" t="s">
        <v>98</v>
      </c>
    </row>
    <row r="929" spans="33:37" x14ac:dyDescent="0.4">
      <c r="AG929" s="56" t="s">
        <v>108</v>
      </c>
      <c r="AH929" s="14" t="s">
        <v>96</v>
      </c>
      <c r="AI929" s="56" t="s">
        <v>108</v>
      </c>
      <c r="AJ929" s="14" t="s">
        <v>97</v>
      </c>
      <c r="AK929" s="14" t="s">
        <v>98</v>
      </c>
    </row>
    <row r="930" spans="33:37" x14ac:dyDescent="0.4">
      <c r="AG930" s="56" t="s">
        <v>108</v>
      </c>
      <c r="AH930" s="14" t="s">
        <v>96</v>
      </c>
      <c r="AI930" s="56" t="s">
        <v>108</v>
      </c>
      <c r="AJ930" s="14" t="s">
        <v>96</v>
      </c>
      <c r="AK930" s="14" t="s">
        <v>98</v>
      </c>
    </row>
    <row r="931" spans="33:37" x14ac:dyDescent="0.4">
      <c r="AG931" s="56" t="s">
        <v>108</v>
      </c>
      <c r="AH931" s="14" t="s">
        <v>96</v>
      </c>
      <c r="AI931" s="56" t="s">
        <v>108</v>
      </c>
      <c r="AJ931" s="14" t="s">
        <v>104</v>
      </c>
      <c r="AK931" s="14" t="s">
        <v>98</v>
      </c>
    </row>
    <row r="932" spans="33:37" x14ac:dyDescent="0.4">
      <c r="AG932" s="56" t="s">
        <v>108</v>
      </c>
      <c r="AH932" s="14" t="s">
        <v>96</v>
      </c>
      <c r="AI932" s="56" t="s">
        <v>108</v>
      </c>
      <c r="AJ932" s="14" t="s">
        <v>101</v>
      </c>
      <c r="AK932" s="14" t="s">
        <v>98</v>
      </c>
    </row>
    <row r="933" spans="33:37" x14ac:dyDescent="0.4">
      <c r="AG933" s="56" t="s">
        <v>108</v>
      </c>
      <c r="AH933" s="14" t="s">
        <v>96</v>
      </c>
      <c r="AI933" s="56" t="s">
        <v>108</v>
      </c>
      <c r="AJ933" s="56" t="s">
        <v>108</v>
      </c>
      <c r="AK933" s="14" t="s">
        <v>98</v>
      </c>
    </row>
    <row r="934" spans="33:37" x14ac:dyDescent="0.4">
      <c r="AG934" s="56" t="s">
        <v>108</v>
      </c>
      <c r="AH934" s="14" t="s">
        <v>96</v>
      </c>
      <c r="AI934" s="56" t="s">
        <v>108</v>
      </c>
      <c r="AJ934" s="14" t="s">
        <v>94</v>
      </c>
      <c r="AK934" s="14" t="s">
        <v>98</v>
      </c>
    </row>
    <row r="935" spans="33:37" x14ac:dyDescent="0.4">
      <c r="AG935" s="56" t="s">
        <v>108</v>
      </c>
      <c r="AH935" s="14" t="s">
        <v>96</v>
      </c>
      <c r="AI935" s="14" t="s">
        <v>94</v>
      </c>
      <c r="AJ935" s="14" t="s">
        <v>97</v>
      </c>
      <c r="AK935" s="14" t="s">
        <v>98</v>
      </c>
    </row>
    <row r="936" spans="33:37" x14ac:dyDescent="0.4">
      <c r="AG936" s="56" t="s">
        <v>108</v>
      </c>
      <c r="AH936" s="14" t="s">
        <v>96</v>
      </c>
      <c r="AI936" s="14" t="s">
        <v>94</v>
      </c>
      <c r="AJ936" s="14" t="s">
        <v>96</v>
      </c>
      <c r="AK936" s="14" t="s">
        <v>98</v>
      </c>
    </row>
    <row r="937" spans="33:37" x14ac:dyDescent="0.4">
      <c r="AG937" s="56" t="s">
        <v>108</v>
      </c>
      <c r="AH937" s="14" t="s">
        <v>96</v>
      </c>
      <c r="AI937" s="14" t="s">
        <v>94</v>
      </c>
      <c r="AJ937" s="14" t="s">
        <v>104</v>
      </c>
      <c r="AK937" s="14" t="s">
        <v>98</v>
      </c>
    </row>
    <row r="938" spans="33:37" x14ac:dyDescent="0.4">
      <c r="AG938" s="56" t="s">
        <v>108</v>
      </c>
      <c r="AH938" s="14" t="s">
        <v>96</v>
      </c>
      <c r="AI938" s="14" t="s">
        <v>94</v>
      </c>
      <c r="AJ938" s="14" t="s">
        <v>101</v>
      </c>
      <c r="AK938" s="14" t="s">
        <v>98</v>
      </c>
    </row>
    <row r="939" spans="33:37" x14ac:dyDescent="0.4">
      <c r="AG939" s="56" t="s">
        <v>108</v>
      </c>
      <c r="AH939" s="14" t="s">
        <v>96</v>
      </c>
      <c r="AI939" s="14" t="s">
        <v>94</v>
      </c>
      <c r="AJ939" s="56" t="s">
        <v>108</v>
      </c>
      <c r="AK939" s="14" t="s">
        <v>98</v>
      </c>
    </row>
    <row r="940" spans="33:37" x14ac:dyDescent="0.4">
      <c r="AG940" s="56" t="s">
        <v>108</v>
      </c>
      <c r="AH940" s="14" t="s">
        <v>96</v>
      </c>
      <c r="AI940" s="14" t="s">
        <v>94</v>
      </c>
      <c r="AJ940" s="14" t="s">
        <v>94</v>
      </c>
      <c r="AK940" s="14" t="s">
        <v>98</v>
      </c>
    </row>
    <row r="941" spans="33:37" x14ac:dyDescent="0.4">
      <c r="AG941" s="56" t="s">
        <v>108</v>
      </c>
      <c r="AH941" s="14" t="s">
        <v>104</v>
      </c>
      <c r="AI941" s="14" t="s">
        <v>97</v>
      </c>
      <c r="AJ941" s="14" t="s">
        <v>97</v>
      </c>
      <c r="AK941" s="14" t="s">
        <v>98</v>
      </c>
    </row>
    <row r="942" spans="33:37" x14ac:dyDescent="0.4">
      <c r="AG942" s="56" t="s">
        <v>108</v>
      </c>
      <c r="AH942" s="14" t="s">
        <v>104</v>
      </c>
      <c r="AI942" s="14" t="s">
        <v>97</v>
      </c>
      <c r="AJ942" s="14" t="s">
        <v>96</v>
      </c>
      <c r="AK942" s="14" t="s">
        <v>98</v>
      </c>
    </row>
    <row r="943" spans="33:37" x14ac:dyDescent="0.4">
      <c r="AG943" s="56" t="s">
        <v>108</v>
      </c>
      <c r="AH943" s="14" t="s">
        <v>104</v>
      </c>
      <c r="AI943" s="14" t="s">
        <v>97</v>
      </c>
      <c r="AJ943" s="14" t="s">
        <v>104</v>
      </c>
      <c r="AK943" s="14" t="s">
        <v>98</v>
      </c>
    </row>
    <row r="944" spans="33:37" x14ac:dyDescent="0.4">
      <c r="AG944" s="56" t="s">
        <v>108</v>
      </c>
      <c r="AH944" s="14" t="s">
        <v>104</v>
      </c>
      <c r="AI944" s="14" t="s">
        <v>97</v>
      </c>
      <c r="AJ944" s="14" t="s">
        <v>101</v>
      </c>
      <c r="AK944" s="14" t="s">
        <v>98</v>
      </c>
    </row>
    <row r="945" spans="33:37" x14ac:dyDescent="0.4">
      <c r="AG945" s="56" t="s">
        <v>108</v>
      </c>
      <c r="AH945" s="14" t="s">
        <v>104</v>
      </c>
      <c r="AI945" s="14" t="s">
        <v>97</v>
      </c>
      <c r="AJ945" s="56" t="s">
        <v>108</v>
      </c>
      <c r="AK945" s="14" t="s">
        <v>98</v>
      </c>
    </row>
    <row r="946" spans="33:37" x14ac:dyDescent="0.4">
      <c r="AG946" s="56" t="s">
        <v>108</v>
      </c>
      <c r="AH946" s="14" t="s">
        <v>104</v>
      </c>
      <c r="AI946" s="14" t="s">
        <v>97</v>
      </c>
      <c r="AJ946" s="14" t="s">
        <v>94</v>
      </c>
      <c r="AK946" s="14" t="s">
        <v>98</v>
      </c>
    </row>
    <row r="947" spans="33:37" x14ac:dyDescent="0.4">
      <c r="AG947" s="56" t="s">
        <v>108</v>
      </c>
      <c r="AH947" s="14" t="s">
        <v>104</v>
      </c>
      <c r="AI947" s="14" t="s">
        <v>96</v>
      </c>
      <c r="AJ947" s="14" t="s">
        <v>97</v>
      </c>
      <c r="AK947" s="14" t="s">
        <v>98</v>
      </c>
    </row>
    <row r="948" spans="33:37" x14ac:dyDescent="0.4">
      <c r="AG948" s="56" t="s">
        <v>108</v>
      </c>
      <c r="AH948" s="14" t="s">
        <v>104</v>
      </c>
      <c r="AI948" s="14" t="s">
        <v>96</v>
      </c>
      <c r="AJ948" s="14" t="s">
        <v>96</v>
      </c>
      <c r="AK948" s="14" t="s">
        <v>98</v>
      </c>
    </row>
    <row r="949" spans="33:37" x14ac:dyDescent="0.4">
      <c r="AG949" s="56" t="s">
        <v>108</v>
      </c>
      <c r="AH949" s="14" t="s">
        <v>104</v>
      </c>
      <c r="AI949" s="14" t="s">
        <v>96</v>
      </c>
      <c r="AJ949" s="14" t="s">
        <v>104</v>
      </c>
      <c r="AK949" s="14" t="s">
        <v>98</v>
      </c>
    </row>
    <row r="950" spans="33:37" x14ac:dyDescent="0.4">
      <c r="AG950" s="56" t="s">
        <v>108</v>
      </c>
      <c r="AH950" s="14" t="s">
        <v>104</v>
      </c>
      <c r="AI950" s="14" t="s">
        <v>96</v>
      </c>
      <c r="AJ950" s="14" t="s">
        <v>101</v>
      </c>
      <c r="AK950" s="14" t="s">
        <v>98</v>
      </c>
    </row>
    <row r="951" spans="33:37" x14ac:dyDescent="0.4">
      <c r="AG951" s="56" t="s">
        <v>108</v>
      </c>
      <c r="AH951" s="14" t="s">
        <v>104</v>
      </c>
      <c r="AI951" s="14" t="s">
        <v>96</v>
      </c>
      <c r="AJ951" s="56" t="s">
        <v>108</v>
      </c>
      <c r="AK951" s="14" t="s">
        <v>98</v>
      </c>
    </row>
    <row r="952" spans="33:37" x14ac:dyDescent="0.4">
      <c r="AG952" s="56" t="s">
        <v>108</v>
      </c>
      <c r="AH952" s="14" t="s">
        <v>104</v>
      </c>
      <c r="AI952" s="14" t="s">
        <v>96</v>
      </c>
      <c r="AJ952" s="14" t="s">
        <v>94</v>
      </c>
      <c r="AK952" s="14" t="s">
        <v>98</v>
      </c>
    </row>
    <row r="953" spans="33:37" x14ac:dyDescent="0.4">
      <c r="AG953" s="56" t="s">
        <v>108</v>
      </c>
      <c r="AH953" s="14" t="s">
        <v>104</v>
      </c>
      <c r="AI953" s="14" t="s">
        <v>104</v>
      </c>
      <c r="AJ953" s="14" t="s">
        <v>97</v>
      </c>
      <c r="AK953" s="14" t="s">
        <v>98</v>
      </c>
    </row>
    <row r="954" spans="33:37" x14ac:dyDescent="0.4">
      <c r="AG954" s="56" t="s">
        <v>108</v>
      </c>
      <c r="AH954" s="14" t="s">
        <v>104</v>
      </c>
      <c r="AI954" s="14" t="s">
        <v>104</v>
      </c>
      <c r="AJ954" s="14" t="s">
        <v>96</v>
      </c>
      <c r="AK954" s="14" t="s">
        <v>98</v>
      </c>
    </row>
    <row r="955" spans="33:37" x14ac:dyDescent="0.4">
      <c r="AG955" s="56" t="s">
        <v>108</v>
      </c>
      <c r="AH955" s="14" t="s">
        <v>104</v>
      </c>
      <c r="AI955" s="14" t="s">
        <v>104</v>
      </c>
      <c r="AJ955" s="14" t="s">
        <v>104</v>
      </c>
      <c r="AK955" s="14" t="s">
        <v>98</v>
      </c>
    </row>
    <row r="956" spans="33:37" x14ac:dyDescent="0.4">
      <c r="AG956" s="56" t="s">
        <v>108</v>
      </c>
      <c r="AH956" s="14" t="s">
        <v>104</v>
      </c>
      <c r="AI956" s="14" t="s">
        <v>104</v>
      </c>
      <c r="AJ956" s="14" t="s">
        <v>101</v>
      </c>
      <c r="AK956" s="14" t="s">
        <v>98</v>
      </c>
    </row>
    <row r="957" spans="33:37" x14ac:dyDescent="0.4">
      <c r="AG957" s="56" t="s">
        <v>108</v>
      </c>
      <c r="AH957" s="14" t="s">
        <v>104</v>
      </c>
      <c r="AI957" s="14" t="s">
        <v>104</v>
      </c>
      <c r="AJ957" s="56" t="s">
        <v>108</v>
      </c>
      <c r="AK957" s="14" t="s">
        <v>98</v>
      </c>
    </row>
    <row r="958" spans="33:37" x14ac:dyDescent="0.4">
      <c r="AG958" s="56" t="s">
        <v>108</v>
      </c>
      <c r="AH958" s="14" t="s">
        <v>104</v>
      </c>
      <c r="AI958" s="14" t="s">
        <v>104</v>
      </c>
      <c r="AJ958" s="14" t="s">
        <v>94</v>
      </c>
      <c r="AK958" s="14" t="s">
        <v>98</v>
      </c>
    </row>
    <row r="959" spans="33:37" x14ac:dyDescent="0.4">
      <c r="AG959" s="56" t="s">
        <v>108</v>
      </c>
      <c r="AH959" s="14" t="s">
        <v>104</v>
      </c>
      <c r="AI959" s="14" t="s">
        <v>101</v>
      </c>
      <c r="AJ959" s="14" t="s">
        <v>97</v>
      </c>
      <c r="AK959" s="14" t="s">
        <v>98</v>
      </c>
    </row>
    <row r="960" spans="33:37" x14ac:dyDescent="0.4">
      <c r="AG960" s="56" t="s">
        <v>108</v>
      </c>
      <c r="AH960" s="14" t="s">
        <v>104</v>
      </c>
      <c r="AI960" s="14" t="s">
        <v>101</v>
      </c>
      <c r="AJ960" s="14" t="s">
        <v>96</v>
      </c>
      <c r="AK960" s="14" t="s">
        <v>98</v>
      </c>
    </row>
    <row r="961" spans="33:37" x14ac:dyDescent="0.4">
      <c r="AG961" s="56" t="s">
        <v>108</v>
      </c>
      <c r="AH961" s="14" t="s">
        <v>104</v>
      </c>
      <c r="AI961" s="14" t="s">
        <v>101</v>
      </c>
      <c r="AJ961" s="14" t="s">
        <v>104</v>
      </c>
      <c r="AK961" s="14" t="s">
        <v>98</v>
      </c>
    </row>
    <row r="962" spans="33:37" x14ac:dyDescent="0.4">
      <c r="AG962" s="56" t="s">
        <v>108</v>
      </c>
      <c r="AH962" s="14" t="s">
        <v>104</v>
      </c>
      <c r="AI962" s="14" t="s">
        <v>101</v>
      </c>
      <c r="AJ962" s="14" t="s">
        <v>101</v>
      </c>
      <c r="AK962" s="14" t="s">
        <v>98</v>
      </c>
    </row>
    <row r="963" spans="33:37" x14ac:dyDescent="0.4">
      <c r="AG963" s="56" t="s">
        <v>108</v>
      </c>
      <c r="AH963" s="14" t="s">
        <v>104</v>
      </c>
      <c r="AI963" s="14" t="s">
        <v>101</v>
      </c>
      <c r="AJ963" s="56" t="s">
        <v>108</v>
      </c>
      <c r="AK963" s="14" t="s">
        <v>129</v>
      </c>
    </row>
    <row r="964" spans="33:37" x14ac:dyDescent="0.4">
      <c r="AG964" s="56" t="s">
        <v>108</v>
      </c>
      <c r="AH964" s="14" t="s">
        <v>104</v>
      </c>
      <c r="AI964" s="14" t="s">
        <v>101</v>
      </c>
      <c r="AJ964" s="14" t="s">
        <v>94</v>
      </c>
      <c r="AK964" s="14" t="s">
        <v>129</v>
      </c>
    </row>
    <row r="965" spans="33:37" x14ac:dyDescent="0.4">
      <c r="AG965" s="56" t="s">
        <v>108</v>
      </c>
      <c r="AH965" s="14" t="s">
        <v>104</v>
      </c>
      <c r="AI965" s="56" t="s">
        <v>108</v>
      </c>
      <c r="AJ965" s="14" t="s">
        <v>97</v>
      </c>
      <c r="AK965" s="14" t="s">
        <v>98</v>
      </c>
    </row>
    <row r="966" spans="33:37" x14ac:dyDescent="0.4">
      <c r="AG966" s="56" t="s">
        <v>108</v>
      </c>
      <c r="AH966" s="14" t="s">
        <v>104</v>
      </c>
      <c r="AI966" s="56" t="s">
        <v>108</v>
      </c>
      <c r="AJ966" s="14" t="s">
        <v>96</v>
      </c>
      <c r="AK966" s="14" t="s">
        <v>98</v>
      </c>
    </row>
    <row r="967" spans="33:37" x14ac:dyDescent="0.4">
      <c r="AG967" s="56" t="s">
        <v>108</v>
      </c>
      <c r="AH967" s="14" t="s">
        <v>104</v>
      </c>
      <c r="AI967" s="56" t="s">
        <v>108</v>
      </c>
      <c r="AJ967" s="14" t="s">
        <v>104</v>
      </c>
      <c r="AK967" s="14" t="s">
        <v>98</v>
      </c>
    </row>
    <row r="968" spans="33:37" x14ac:dyDescent="0.4">
      <c r="AG968" s="56" t="s">
        <v>108</v>
      </c>
      <c r="AH968" s="14" t="s">
        <v>104</v>
      </c>
      <c r="AI968" s="56" t="s">
        <v>108</v>
      </c>
      <c r="AJ968" s="14" t="s">
        <v>101</v>
      </c>
      <c r="AK968" s="14" t="s">
        <v>98</v>
      </c>
    </row>
    <row r="969" spans="33:37" x14ac:dyDescent="0.4">
      <c r="AG969" s="56" t="s">
        <v>108</v>
      </c>
      <c r="AH969" s="14" t="s">
        <v>104</v>
      </c>
      <c r="AI969" s="56" t="s">
        <v>108</v>
      </c>
      <c r="AJ969" s="56" t="s">
        <v>108</v>
      </c>
      <c r="AK969" s="14" t="s">
        <v>129</v>
      </c>
    </row>
    <row r="970" spans="33:37" x14ac:dyDescent="0.4">
      <c r="AG970" s="56" t="s">
        <v>108</v>
      </c>
      <c r="AH970" s="14" t="s">
        <v>104</v>
      </c>
      <c r="AI970" s="56" t="s">
        <v>108</v>
      </c>
      <c r="AJ970" s="14" t="s">
        <v>94</v>
      </c>
      <c r="AK970" s="14" t="s">
        <v>129</v>
      </c>
    </row>
    <row r="971" spans="33:37" x14ac:dyDescent="0.4">
      <c r="AG971" s="56" t="s">
        <v>108</v>
      </c>
      <c r="AH971" s="14" t="s">
        <v>104</v>
      </c>
      <c r="AI971" s="14" t="s">
        <v>94</v>
      </c>
      <c r="AJ971" s="14" t="s">
        <v>97</v>
      </c>
      <c r="AK971" s="14" t="s">
        <v>98</v>
      </c>
    </row>
    <row r="972" spans="33:37" x14ac:dyDescent="0.4">
      <c r="AG972" s="56" t="s">
        <v>108</v>
      </c>
      <c r="AH972" s="14" t="s">
        <v>104</v>
      </c>
      <c r="AI972" s="14" t="s">
        <v>94</v>
      </c>
      <c r="AJ972" s="14" t="s">
        <v>96</v>
      </c>
      <c r="AK972" s="14" t="s">
        <v>98</v>
      </c>
    </row>
    <row r="973" spans="33:37" x14ac:dyDescent="0.4">
      <c r="AG973" s="56" t="s">
        <v>108</v>
      </c>
      <c r="AH973" s="14" t="s">
        <v>104</v>
      </c>
      <c r="AI973" s="14" t="s">
        <v>94</v>
      </c>
      <c r="AJ973" s="14" t="s">
        <v>104</v>
      </c>
      <c r="AK973" s="14" t="s">
        <v>98</v>
      </c>
    </row>
    <row r="974" spans="33:37" x14ac:dyDescent="0.4">
      <c r="AG974" s="56" t="s">
        <v>108</v>
      </c>
      <c r="AH974" s="14" t="s">
        <v>104</v>
      </c>
      <c r="AI974" s="14" t="s">
        <v>94</v>
      </c>
      <c r="AJ974" s="14" t="s">
        <v>101</v>
      </c>
      <c r="AK974" s="14" t="s">
        <v>98</v>
      </c>
    </row>
    <row r="975" spans="33:37" x14ac:dyDescent="0.4">
      <c r="AG975" s="56" t="s">
        <v>108</v>
      </c>
      <c r="AH975" s="14" t="s">
        <v>104</v>
      </c>
      <c r="AI975" s="14" t="s">
        <v>94</v>
      </c>
      <c r="AJ975" s="56" t="s">
        <v>108</v>
      </c>
      <c r="AK975" s="14" t="s">
        <v>129</v>
      </c>
    </row>
    <row r="976" spans="33:37" x14ac:dyDescent="0.4">
      <c r="AG976" s="56" t="s">
        <v>108</v>
      </c>
      <c r="AH976" s="14" t="s">
        <v>104</v>
      </c>
      <c r="AI976" s="14" t="s">
        <v>94</v>
      </c>
      <c r="AJ976" s="14" t="s">
        <v>94</v>
      </c>
      <c r="AK976" s="14" t="s">
        <v>129</v>
      </c>
    </row>
    <row r="977" spans="33:37" x14ac:dyDescent="0.4">
      <c r="AG977" s="56" t="s">
        <v>108</v>
      </c>
      <c r="AH977" s="14" t="s">
        <v>101</v>
      </c>
      <c r="AI977" s="14" t="s">
        <v>97</v>
      </c>
      <c r="AJ977" s="14" t="s">
        <v>97</v>
      </c>
      <c r="AK977" s="14" t="s">
        <v>98</v>
      </c>
    </row>
    <row r="978" spans="33:37" x14ac:dyDescent="0.4">
      <c r="AG978" s="56" t="s">
        <v>108</v>
      </c>
      <c r="AH978" s="14" t="s">
        <v>101</v>
      </c>
      <c r="AI978" s="14" t="s">
        <v>97</v>
      </c>
      <c r="AJ978" s="14" t="s">
        <v>96</v>
      </c>
      <c r="AK978" s="14" t="s">
        <v>98</v>
      </c>
    </row>
    <row r="979" spans="33:37" x14ac:dyDescent="0.4">
      <c r="AG979" s="56" t="s">
        <v>108</v>
      </c>
      <c r="AH979" s="14" t="s">
        <v>101</v>
      </c>
      <c r="AI979" s="14" t="s">
        <v>97</v>
      </c>
      <c r="AJ979" s="14" t="s">
        <v>104</v>
      </c>
      <c r="AK979" s="14" t="s">
        <v>98</v>
      </c>
    </row>
    <row r="980" spans="33:37" x14ac:dyDescent="0.4">
      <c r="AG980" s="56" t="s">
        <v>108</v>
      </c>
      <c r="AH980" s="14" t="s">
        <v>101</v>
      </c>
      <c r="AI980" s="14" t="s">
        <v>97</v>
      </c>
      <c r="AJ980" s="14" t="s">
        <v>101</v>
      </c>
      <c r="AK980" s="14" t="s">
        <v>98</v>
      </c>
    </row>
    <row r="981" spans="33:37" x14ac:dyDescent="0.4">
      <c r="AG981" s="56" t="s">
        <v>108</v>
      </c>
      <c r="AH981" s="14" t="s">
        <v>101</v>
      </c>
      <c r="AI981" s="14" t="s">
        <v>97</v>
      </c>
      <c r="AJ981" s="56" t="s">
        <v>108</v>
      </c>
      <c r="AK981" s="14" t="s">
        <v>98</v>
      </c>
    </row>
    <row r="982" spans="33:37" x14ac:dyDescent="0.4">
      <c r="AG982" s="56" t="s">
        <v>108</v>
      </c>
      <c r="AH982" s="14" t="s">
        <v>101</v>
      </c>
      <c r="AI982" s="14" t="s">
        <v>97</v>
      </c>
      <c r="AJ982" s="14" t="s">
        <v>94</v>
      </c>
      <c r="AK982" s="14" t="s">
        <v>98</v>
      </c>
    </row>
    <row r="983" spans="33:37" x14ac:dyDescent="0.4">
      <c r="AG983" s="56" t="s">
        <v>108</v>
      </c>
      <c r="AH983" s="14" t="s">
        <v>101</v>
      </c>
      <c r="AI983" s="14" t="s">
        <v>96</v>
      </c>
      <c r="AJ983" s="14" t="s">
        <v>97</v>
      </c>
      <c r="AK983" s="14" t="s">
        <v>98</v>
      </c>
    </row>
    <row r="984" spans="33:37" x14ac:dyDescent="0.4">
      <c r="AG984" s="56" t="s">
        <v>108</v>
      </c>
      <c r="AH984" s="14" t="s">
        <v>101</v>
      </c>
      <c r="AI984" s="14" t="s">
        <v>96</v>
      </c>
      <c r="AJ984" s="14" t="s">
        <v>96</v>
      </c>
      <c r="AK984" s="14" t="s">
        <v>98</v>
      </c>
    </row>
    <row r="985" spans="33:37" x14ac:dyDescent="0.4">
      <c r="AG985" s="56" t="s">
        <v>108</v>
      </c>
      <c r="AH985" s="14" t="s">
        <v>101</v>
      </c>
      <c r="AI985" s="14" t="s">
        <v>96</v>
      </c>
      <c r="AJ985" s="14" t="s">
        <v>104</v>
      </c>
      <c r="AK985" s="14" t="s">
        <v>98</v>
      </c>
    </row>
    <row r="986" spans="33:37" x14ac:dyDescent="0.4">
      <c r="AG986" s="56" t="s">
        <v>108</v>
      </c>
      <c r="AH986" s="14" t="s">
        <v>101</v>
      </c>
      <c r="AI986" s="14" t="s">
        <v>96</v>
      </c>
      <c r="AJ986" s="14" t="s">
        <v>101</v>
      </c>
      <c r="AK986" s="14" t="s">
        <v>98</v>
      </c>
    </row>
    <row r="987" spans="33:37" x14ac:dyDescent="0.4">
      <c r="AG987" s="56" t="s">
        <v>108</v>
      </c>
      <c r="AH987" s="14" t="s">
        <v>101</v>
      </c>
      <c r="AI987" s="14" t="s">
        <v>96</v>
      </c>
      <c r="AJ987" s="56" t="s">
        <v>108</v>
      </c>
      <c r="AK987" s="14" t="s">
        <v>98</v>
      </c>
    </row>
    <row r="988" spans="33:37" x14ac:dyDescent="0.4">
      <c r="AG988" s="56" t="s">
        <v>108</v>
      </c>
      <c r="AH988" s="14" t="s">
        <v>101</v>
      </c>
      <c r="AI988" s="14" t="s">
        <v>96</v>
      </c>
      <c r="AJ988" s="14" t="s">
        <v>94</v>
      </c>
      <c r="AK988" s="14" t="s">
        <v>98</v>
      </c>
    </row>
    <row r="989" spans="33:37" x14ac:dyDescent="0.4">
      <c r="AG989" s="56" t="s">
        <v>108</v>
      </c>
      <c r="AH989" s="14" t="s">
        <v>101</v>
      </c>
      <c r="AI989" s="14" t="s">
        <v>104</v>
      </c>
      <c r="AJ989" s="14" t="s">
        <v>97</v>
      </c>
      <c r="AK989" s="14" t="s">
        <v>98</v>
      </c>
    </row>
    <row r="990" spans="33:37" x14ac:dyDescent="0.4">
      <c r="AG990" s="56" t="s">
        <v>108</v>
      </c>
      <c r="AH990" s="14" t="s">
        <v>101</v>
      </c>
      <c r="AI990" s="14" t="s">
        <v>104</v>
      </c>
      <c r="AJ990" s="14" t="s">
        <v>96</v>
      </c>
      <c r="AK990" s="14" t="s">
        <v>98</v>
      </c>
    </row>
    <row r="991" spans="33:37" x14ac:dyDescent="0.4">
      <c r="AG991" s="56" t="s">
        <v>108</v>
      </c>
      <c r="AH991" s="14" t="s">
        <v>101</v>
      </c>
      <c r="AI991" s="14" t="s">
        <v>104</v>
      </c>
      <c r="AJ991" s="14" t="s">
        <v>104</v>
      </c>
      <c r="AK991" s="14" t="s">
        <v>98</v>
      </c>
    </row>
    <row r="992" spans="33:37" x14ac:dyDescent="0.4">
      <c r="AG992" s="56" t="s">
        <v>108</v>
      </c>
      <c r="AH992" s="14" t="s">
        <v>101</v>
      </c>
      <c r="AI992" s="14" t="s">
        <v>104</v>
      </c>
      <c r="AJ992" s="14" t="s">
        <v>101</v>
      </c>
      <c r="AK992" s="14" t="s">
        <v>98</v>
      </c>
    </row>
    <row r="993" spans="33:37" x14ac:dyDescent="0.4">
      <c r="AG993" s="56" t="s">
        <v>108</v>
      </c>
      <c r="AH993" s="14" t="s">
        <v>101</v>
      </c>
      <c r="AI993" s="14" t="s">
        <v>104</v>
      </c>
      <c r="AJ993" s="56" t="s">
        <v>108</v>
      </c>
      <c r="AK993" s="14" t="s">
        <v>98</v>
      </c>
    </row>
    <row r="994" spans="33:37" x14ac:dyDescent="0.4">
      <c r="AG994" s="56" t="s">
        <v>108</v>
      </c>
      <c r="AH994" s="14" t="s">
        <v>101</v>
      </c>
      <c r="AI994" s="14" t="s">
        <v>104</v>
      </c>
      <c r="AJ994" s="14" t="s">
        <v>94</v>
      </c>
      <c r="AK994" s="14" t="s">
        <v>98</v>
      </c>
    </row>
    <row r="995" spans="33:37" x14ac:dyDescent="0.4">
      <c r="AG995" s="56" t="s">
        <v>108</v>
      </c>
      <c r="AH995" s="14" t="s">
        <v>101</v>
      </c>
      <c r="AI995" s="14" t="s">
        <v>101</v>
      </c>
      <c r="AJ995" s="14" t="s">
        <v>97</v>
      </c>
      <c r="AK995" s="14" t="s">
        <v>98</v>
      </c>
    </row>
    <row r="996" spans="33:37" x14ac:dyDescent="0.4">
      <c r="AG996" s="56" t="s">
        <v>108</v>
      </c>
      <c r="AH996" s="14" t="s">
        <v>101</v>
      </c>
      <c r="AI996" s="14" t="s">
        <v>101</v>
      </c>
      <c r="AJ996" s="14" t="s">
        <v>96</v>
      </c>
      <c r="AK996" s="14" t="s">
        <v>98</v>
      </c>
    </row>
    <row r="997" spans="33:37" x14ac:dyDescent="0.4">
      <c r="AG997" s="56" t="s">
        <v>108</v>
      </c>
      <c r="AH997" s="14" t="s">
        <v>101</v>
      </c>
      <c r="AI997" s="14" t="s">
        <v>101</v>
      </c>
      <c r="AJ997" s="14" t="s">
        <v>104</v>
      </c>
      <c r="AK997" s="14" t="s">
        <v>98</v>
      </c>
    </row>
    <row r="998" spans="33:37" x14ac:dyDescent="0.4">
      <c r="AG998" s="56" t="s">
        <v>108</v>
      </c>
      <c r="AH998" s="14" t="s">
        <v>101</v>
      </c>
      <c r="AI998" s="14" t="s">
        <v>101</v>
      </c>
      <c r="AJ998" s="14" t="s">
        <v>101</v>
      </c>
      <c r="AK998" s="14" t="s">
        <v>98</v>
      </c>
    </row>
    <row r="999" spans="33:37" x14ac:dyDescent="0.4">
      <c r="AG999" s="56" t="s">
        <v>108</v>
      </c>
      <c r="AH999" s="14" t="s">
        <v>101</v>
      </c>
      <c r="AI999" s="14" t="s">
        <v>101</v>
      </c>
      <c r="AJ999" s="56" t="s">
        <v>108</v>
      </c>
      <c r="AK999" s="14" t="s">
        <v>129</v>
      </c>
    </row>
    <row r="1000" spans="33:37" x14ac:dyDescent="0.4">
      <c r="AG1000" s="56" t="s">
        <v>108</v>
      </c>
      <c r="AH1000" s="14" t="s">
        <v>101</v>
      </c>
      <c r="AI1000" s="14" t="s">
        <v>101</v>
      </c>
      <c r="AJ1000" s="14" t="s">
        <v>94</v>
      </c>
      <c r="AK1000" s="14" t="s">
        <v>129</v>
      </c>
    </row>
    <row r="1001" spans="33:37" x14ac:dyDescent="0.4">
      <c r="AG1001" s="56" t="s">
        <v>108</v>
      </c>
      <c r="AH1001" s="14" t="s">
        <v>101</v>
      </c>
      <c r="AI1001" s="56" t="s">
        <v>108</v>
      </c>
      <c r="AJ1001" s="14" t="s">
        <v>97</v>
      </c>
      <c r="AK1001" s="14" t="s">
        <v>98</v>
      </c>
    </row>
    <row r="1002" spans="33:37" x14ac:dyDescent="0.4">
      <c r="AG1002" s="56" t="s">
        <v>108</v>
      </c>
      <c r="AH1002" s="14" t="s">
        <v>101</v>
      </c>
      <c r="AI1002" s="56" t="s">
        <v>108</v>
      </c>
      <c r="AJ1002" s="14" t="s">
        <v>96</v>
      </c>
      <c r="AK1002" s="14" t="s">
        <v>98</v>
      </c>
    </row>
    <row r="1003" spans="33:37" x14ac:dyDescent="0.4">
      <c r="AG1003" s="56" t="s">
        <v>108</v>
      </c>
      <c r="AH1003" s="14" t="s">
        <v>101</v>
      </c>
      <c r="AI1003" s="56" t="s">
        <v>108</v>
      </c>
      <c r="AJ1003" s="14" t="s">
        <v>104</v>
      </c>
      <c r="AK1003" s="14" t="s">
        <v>98</v>
      </c>
    </row>
    <row r="1004" spans="33:37" x14ac:dyDescent="0.4">
      <c r="AG1004" s="56" t="s">
        <v>108</v>
      </c>
      <c r="AH1004" s="14" t="s">
        <v>101</v>
      </c>
      <c r="AI1004" s="56" t="s">
        <v>108</v>
      </c>
      <c r="AJ1004" s="14" t="s">
        <v>101</v>
      </c>
      <c r="AK1004" s="14" t="s">
        <v>98</v>
      </c>
    </row>
    <row r="1005" spans="33:37" x14ac:dyDescent="0.4">
      <c r="AG1005" s="56" t="s">
        <v>108</v>
      </c>
      <c r="AH1005" s="14" t="s">
        <v>101</v>
      </c>
      <c r="AI1005" s="56" t="s">
        <v>108</v>
      </c>
      <c r="AJ1005" s="56" t="s">
        <v>108</v>
      </c>
      <c r="AK1005" s="14" t="s">
        <v>129</v>
      </c>
    </row>
    <row r="1006" spans="33:37" x14ac:dyDescent="0.4">
      <c r="AG1006" s="56" t="s">
        <v>108</v>
      </c>
      <c r="AH1006" s="14" t="s">
        <v>101</v>
      </c>
      <c r="AI1006" s="56" t="s">
        <v>108</v>
      </c>
      <c r="AJ1006" s="14" t="s">
        <v>94</v>
      </c>
      <c r="AK1006" s="14" t="s">
        <v>129</v>
      </c>
    </row>
    <row r="1007" spans="33:37" x14ac:dyDescent="0.4">
      <c r="AG1007" s="56" t="s">
        <v>108</v>
      </c>
      <c r="AH1007" s="14" t="s">
        <v>101</v>
      </c>
      <c r="AI1007" s="14" t="s">
        <v>94</v>
      </c>
      <c r="AJ1007" s="14" t="s">
        <v>97</v>
      </c>
      <c r="AK1007" s="14" t="s">
        <v>98</v>
      </c>
    </row>
    <row r="1008" spans="33:37" x14ac:dyDescent="0.4">
      <c r="AG1008" s="56" t="s">
        <v>108</v>
      </c>
      <c r="AH1008" s="14" t="s">
        <v>101</v>
      </c>
      <c r="AI1008" s="14" t="s">
        <v>94</v>
      </c>
      <c r="AJ1008" s="14" t="s">
        <v>96</v>
      </c>
      <c r="AK1008" s="14" t="s">
        <v>98</v>
      </c>
    </row>
    <row r="1009" spans="33:37" x14ac:dyDescent="0.4">
      <c r="AG1009" s="56" t="s">
        <v>108</v>
      </c>
      <c r="AH1009" s="14" t="s">
        <v>101</v>
      </c>
      <c r="AI1009" s="14" t="s">
        <v>94</v>
      </c>
      <c r="AJ1009" s="14" t="s">
        <v>104</v>
      </c>
      <c r="AK1009" s="14" t="s">
        <v>98</v>
      </c>
    </row>
    <row r="1010" spans="33:37" x14ac:dyDescent="0.4">
      <c r="AG1010" s="56" t="s">
        <v>108</v>
      </c>
      <c r="AH1010" s="14" t="s">
        <v>101</v>
      </c>
      <c r="AI1010" s="14" t="s">
        <v>94</v>
      </c>
      <c r="AJ1010" s="14" t="s">
        <v>101</v>
      </c>
      <c r="AK1010" s="14" t="s">
        <v>98</v>
      </c>
    </row>
    <row r="1011" spans="33:37" x14ac:dyDescent="0.4">
      <c r="AG1011" s="56" t="s">
        <v>108</v>
      </c>
      <c r="AH1011" s="14" t="s">
        <v>101</v>
      </c>
      <c r="AI1011" s="14" t="s">
        <v>94</v>
      </c>
      <c r="AJ1011" s="56" t="s">
        <v>108</v>
      </c>
      <c r="AK1011" s="14" t="s">
        <v>129</v>
      </c>
    </row>
    <row r="1012" spans="33:37" x14ac:dyDescent="0.4">
      <c r="AG1012" s="56" t="s">
        <v>108</v>
      </c>
      <c r="AH1012" s="14" t="s">
        <v>101</v>
      </c>
      <c r="AI1012" s="14" t="s">
        <v>94</v>
      </c>
      <c r="AJ1012" s="14" t="s">
        <v>94</v>
      </c>
      <c r="AK1012" s="14" t="s">
        <v>129</v>
      </c>
    </row>
    <row r="1013" spans="33:37" x14ac:dyDescent="0.4">
      <c r="AG1013" s="56" t="s">
        <v>108</v>
      </c>
      <c r="AH1013" s="56" t="s">
        <v>108</v>
      </c>
      <c r="AI1013" s="14" t="s">
        <v>97</v>
      </c>
      <c r="AJ1013" s="14" t="s">
        <v>97</v>
      </c>
      <c r="AK1013" s="14" t="s">
        <v>98</v>
      </c>
    </row>
    <row r="1014" spans="33:37" x14ac:dyDescent="0.4">
      <c r="AG1014" s="56" t="s">
        <v>108</v>
      </c>
      <c r="AH1014" s="56" t="s">
        <v>108</v>
      </c>
      <c r="AI1014" s="14" t="s">
        <v>97</v>
      </c>
      <c r="AJ1014" s="14" t="s">
        <v>96</v>
      </c>
      <c r="AK1014" s="14" t="s">
        <v>98</v>
      </c>
    </row>
    <row r="1015" spans="33:37" x14ac:dyDescent="0.4">
      <c r="AG1015" s="56" t="s">
        <v>108</v>
      </c>
      <c r="AH1015" s="56" t="s">
        <v>108</v>
      </c>
      <c r="AI1015" s="14" t="s">
        <v>97</v>
      </c>
      <c r="AJ1015" s="14" t="s">
        <v>104</v>
      </c>
      <c r="AK1015" s="14" t="s">
        <v>98</v>
      </c>
    </row>
    <row r="1016" spans="33:37" x14ac:dyDescent="0.4">
      <c r="AG1016" s="56" t="s">
        <v>108</v>
      </c>
      <c r="AH1016" s="56" t="s">
        <v>108</v>
      </c>
      <c r="AI1016" s="14" t="s">
        <v>97</v>
      </c>
      <c r="AJ1016" s="14" t="s">
        <v>101</v>
      </c>
      <c r="AK1016" s="14" t="s">
        <v>98</v>
      </c>
    </row>
    <row r="1017" spans="33:37" x14ac:dyDescent="0.4">
      <c r="AG1017" s="56" t="s">
        <v>108</v>
      </c>
      <c r="AH1017" s="56" t="s">
        <v>108</v>
      </c>
      <c r="AI1017" s="14" t="s">
        <v>97</v>
      </c>
      <c r="AJ1017" s="56" t="s">
        <v>108</v>
      </c>
      <c r="AK1017" s="14" t="s">
        <v>98</v>
      </c>
    </row>
    <row r="1018" spans="33:37" x14ac:dyDescent="0.4">
      <c r="AG1018" s="56" t="s">
        <v>108</v>
      </c>
      <c r="AH1018" s="56" t="s">
        <v>108</v>
      </c>
      <c r="AI1018" s="14" t="s">
        <v>97</v>
      </c>
      <c r="AJ1018" s="14" t="s">
        <v>94</v>
      </c>
      <c r="AK1018" s="14" t="s">
        <v>98</v>
      </c>
    </row>
    <row r="1019" spans="33:37" x14ac:dyDescent="0.4">
      <c r="AG1019" s="56" t="s">
        <v>108</v>
      </c>
      <c r="AH1019" s="56" t="s">
        <v>108</v>
      </c>
      <c r="AI1019" s="14" t="s">
        <v>96</v>
      </c>
      <c r="AJ1019" s="14" t="s">
        <v>97</v>
      </c>
      <c r="AK1019" s="14" t="s">
        <v>98</v>
      </c>
    </row>
    <row r="1020" spans="33:37" x14ac:dyDescent="0.4">
      <c r="AG1020" s="56" t="s">
        <v>108</v>
      </c>
      <c r="AH1020" s="56" t="s">
        <v>108</v>
      </c>
      <c r="AI1020" s="14" t="s">
        <v>96</v>
      </c>
      <c r="AJ1020" s="14" t="s">
        <v>96</v>
      </c>
      <c r="AK1020" s="14" t="s">
        <v>98</v>
      </c>
    </row>
    <row r="1021" spans="33:37" x14ac:dyDescent="0.4">
      <c r="AG1021" s="56" t="s">
        <v>108</v>
      </c>
      <c r="AH1021" s="56" t="s">
        <v>108</v>
      </c>
      <c r="AI1021" s="14" t="s">
        <v>96</v>
      </c>
      <c r="AJ1021" s="14" t="s">
        <v>104</v>
      </c>
      <c r="AK1021" s="14" t="s">
        <v>98</v>
      </c>
    </row>
    <row r="1022" spans="33:37" x14ac:dyDescent="0.4">
      <c r="AG1022" s="56" t="s">
        <v>108</v>
      </c>
      <c r="AH1022" s="56" t="s">
        <v>108</v>
      </c>
      <c r="AI1022" s="14" t="s">
        <v>96</v>
      </c>
      <c r="AJ1022" s="14" t="s">
        <v>101</v>
      </c>
      <c r="AK1022" s="14" t="s">
        <v>98</v>
      </c>
    </row>
    <row r="1023" spans="33:37" x14ac:dyDescent="0.4">
      <c r="AG1023" s="56" t="s">
        <v>108</v>
      </c>
      <c r="AH1023" s="56" t="s">
        <v>108</v>
      </c>
      <c r="AI1023" s="14" t="s">
        <v>96</v>
      </c>
      <c r="AJ1023" s="56" t="s">
        <v>108</v>
      </c>
      <c r="AK1023" s="14" t="s">
        <v>98</v>
      </c>
    </row>
    <row r="1024" spans="33:37" x14ac:dyDescent="0.4">
      <c r="AG1024" s="56" t="s">
        <v>108</v>
      </c>
      <c r="AH1024" s="56" t="s">
        <v>108</v>
      </c>
      <c r="AI1024" s="14" t="s">
        <v>96</v>
      </c>
      <c r="AJ1024" s="14" t="s">
        <v>94</v>
      </c>
      <c r="AK1024" s="14" t="s">
        <v>98</v>
      </c>
    </row>
    <row r="1025" spans="33:37" x14ac:dyDescent="0.4">
      <c r="AG1025" s="56" t="s">
        <v>108</v>
      </c>
      <c r="AH1025" s="56" t="s">
        <v>108</v>
      </c>
      <c r="AI1025" s="14" t="s">
        <v>104</v>
      </c>
      <c r="AJ1025" s="14" t="s">
        <v>97</v>
      </c>
      <c r="AK1025" s="14" t="s">
        <v>98</v>
      </c>
    </row>
    <row r="1026" spans="33:37" x14ac:dyDescent="0.4">
      <c r="AG1026" s="56" t="s">
        <v>108</v>
      </c>
      <c r="AH1026" s="56" t="s">
        <v>108</v>
      </c>
      <c r="AI1026" s="14" t="s">
        <v>104</v>
      </c>
      <c r="AJ1026" s="14" t="s">
        <v>96</v>
      </c>
      <c r="AK1026" s="14" t="s">
        <v>98</v>
      </c>
    </row>
    <row r="1027" spans="33:37" x14ac:dyDescent="0.4">
      <c r="AG1027" s="56" t="s">
        <v>108</v>
      </c>
      <c r="AH1027" s="56" t="s">
        <v>108</v>
      </c>
      <c r="AI1027" s="14" t="s">
        <v>104</v>
      </c>
      <c r="AJ1027" s="14" t="s">
        <v>104</v>
      </c>
      <c r="AK1027" s="14" t="s">
        <v>98</v>
      </c>
    </row>
    <row r="1028" spans="33:37" x14ac:dyDescent="0.4">
      <c r="AG1028" s="56" t="s">
        <v>108</v>
      </c>
      <c r="AH1028" s="56" t="s">
        <v>108</v>
      </c>
      <c r="AI1028" s="14" t="s">
        <v>104</v>
      </c>
      <c r="AJ1028" s="14" t="s">
        <v>101</v>
      </c>
      <c r="AK1028" s="14" t="s">
        <v>98</v>
      </c>
    </row>
    <row r="1029" spans="33:37" x14ac:dyDescent="0.4">
      <c r="AG1029" s="56" t="s">
        <v>108</v>
      </c>
      <c r="AH1029" s="56" t="s">
        <v>108</v>
      </c>
      <c r="AI1029" s="14" t="s">
        <v>104</v>
      </c>
      <c r="AJ1029" s="56" t="s">
        <v>108</v>
      </c>
      <c r="AK1029" s="14" t="s">
        <v>98</v>
      </c>
    </row>
    <row r="1030" spans="33:37" x14ac:dyDescent="0.4">
      <c r="AG1030" s="56" t="s">
        <v>108</v>
      </c>
      <c r="AH1030" s="56" t="s">
        <v>108</v>
      </c>
      <c r="AI1030" s="14" t="s">
        <v>104</v>
      </c>
      <c r="AJ1030" s="14" t="s">
        <v>94</v>
      </c>
      <c r="AK1030" s="14" t="s">
        <v>98</v>
      </c>
    </row>
    <row r="1031" spans="33:37" x14ac:dyDescent="0.4">
      <c r="AG1031" s="56" t="s">
        <v>108</v>
      </c>
      <c r="AH1031" s="56" t="s">
        <v>108</v>
      </c>
      <c r="AI1031" s="14" t="s">
        <v>101</v>
      </c>
      <c r="AJ1031" s="14" t="s">
        <v>97</v>
      </c>
      <c r="AK1031" s="14" t="s">
        <v>98</v>
      </c>
    </row>
    <row r="1032" spans="33:37" x14ac:dyDescent="0.4">
      <c r="AG1032" s="56" t="s">
        <v>108</v>
      </c>
      <c r="AH1032" s="56" t="s">
        <v>108</v>
      </c>
      <c r="AI1032" s="14" t="s">
        <v>101</v>
      </c>
      <c r="AJ1032" s="14" t="s">
        <v>96</v>
      </c>
      <c r="AK1032" s="14" t="s">
        <v>98</v>
      </c>
    </row>
    <row r="1033" spans="33:37" x14ac:dyDescent="0.4">
      <c r="AG1033" s="56" t="s">
        <v>108</v>
      </c>
      <c r="AH1033" s="56" t="s">
        <v>108</v>
      </c>
      <c r="AI1033" s="14" t="s">
        <v>101</v>
      </c>
      <c r="AJ1033" s="14" t="s">
        <v>104</v>
      </c>
      <c r="AK1033" s="14" t="s">
        <v>98</v>
      </c>
    </row>
    <row r="1034" spans="33:37" x14ac:dyDescent="0.4">
      <c r="AG1034" s="56" t="s">
        <v>108</v>
      </c>
      <c r="AH1034" s="56" t="s">
        <v>108</v>
      </c>
      <c r="AI1034" s="14" t="s">
        <v>101</v>
      </c>
      <c r="AJ1034" s="14" t="s">
        <v>101</v>
      </c>
      <c r="AK1034" s="14" t="s">
        <v>98</v>
      </c>
    </row>
    <row r="1035" spans="33:37" x14ac:dyDescent="0.4">
      <c r="AG1035" s="56" t="s">
        <v>108</v>
      </c>
      <c r="AH1035" s="56" t="s">
        <v>108</v>
      </c>
      <c r="AI1035" s="14" t="s">
        <v>101</v>
      </c>
      <c r="AJ1035" s="56" t="s">
        <v>108</v>
      </c>
      <c r="AK1035" s="14" t="s">
        <v>129</v>
      </c>
    </row>
    <row r="1036" spans="33:37" x14ac:dyDescent="0.4">
      <c r="AG1036" s="56" t="s">
        <v>108</v>
      </c>
      <c r="AH1036" s="56" t="s">
        <v>108</v>
      </c>
      <c r="AI1036" s="14" t="s">
        <v>101</v>
      </c>
      <c r="AJ1036" s="14" t="s">
        <v>94</v>
      </c>
      <c r="AK1036" s="14" t="s">
        <v>129</v>
      </c>
    </row>
    <row r="1037" spans="33:37" x14ac:dyDescent="0.4">
      <c r="AG1037" s="56" t="s">
        <v>108</v>
      </c>
      <c r="AH1037" s="56" t="s">
        <v>108</v>
      </c>
      <c r="AI1037" s="56" t="s">
        <v>108</v>
      </c>
      <c r="AJ1037" s="14" t="s">
        <v>97</v>
      </c>
      <c r="AK1037" s="14" t="s">
        <v>98</v>
      </c>
    </row>
    <row r="1038" spans="33:37" x14ac:dyDescent="0.4">
      <c r="AG1038" s="56" t="s">
        <v>108</v>
      </c>
      <c r="AH1038" s="56" t="s">
        <v>108</v>
      </c>
      <c r="AI1038" s="56" t="s">
        <v>108</v>
      </c>
      <c r="AJ1038" s="14" t="s">
        <v>96</v>
      </c>
      <c r="AK1038" s="14" t="s">
        <v>98</v>
      </c>
    </row>
    <row r="1039" spans="33:37" x14ac:dyDescent="0.4">
      <c r="AG1039" s="56" t="s">
        <v>108</v>
      </c>
      <c r="AH1039" s="56" t="s">
        <v>108</v>
      </c>
      <c r="AI1039" s="56" t="s">
        <v>108</v>
      </c>
      <c r="AJ1039" s="14" t="s">
        <v>104</v>
      </c>
      <c r="AK1039" s="14" t="s">
        <v>98</v>
      </c>
    </row>
    <row r="1040" spans="33:37" x14ac:dyDescent="0.4">
      <c r="AG1040" s="56" t="s">
        <v>108</v>
      </c>
      <c r="AH1040" s="56" t="s">
        <v>108</v>
      </c>
      <c r="AI1040" s="56" t="s">
        <v>108</v>
      </c>
      <c r="AJ1040" s="14" t="s">
        <v>101</v>
      </c>
      <c r="AK1040" s="14" t="s">
        <v>98</v>
      </c>
    </row>
    <row r="1041" spans="33:37" x14ac:dyDescent="0.4">
      <c r="AG1041" s="56" t="s">
        <v>108</v>
      </c>
      <c r="AH1041" s="56" t="s">
        <v>108</v>
      </c>
      <c r="AI1041" s="56" t="s">
        <v>108</v>
      </c>
      <c r="AJ1041" s="56" t="s">
        <v>108</v>
      </c>
      <c r="AK1041" s="14" t="s">
        <v>129</v>
      </c>
    </row>
    <row r="1042" spans="33:37" x14ac:dyDescent="0.4">
      <c r="AG1042" s="56" t="s">
        <v>108</v>
      </c>
      <c r="AH1042" s="56" t="s">
        <v>108</v>
      </c>
      <c r="AI1042" s="56" t="s">
        <v>108</v>
      </c>
      <c r="AJ1042" s="14" t="s">
        <v>94</v>
      </c>
      <c r="AK1042" s="14" t="s">
        <v>129</v>
      </c>
    </row>
    <row r="1043" spans="33:37" x14ac:dyDescent="0.4">
      <c r="AG1043" s="56" t="s">
        <v>108</v>
      </c>
      <c r="AH1043" s="56" t="s">
        <v>108</v>
      </c>
      <c r="AI1043" s="14" t="s">
        <v>94</v>
      </c>
      <c r="AJ1043" s="14" t="s">
        <v>97</v>
      </c>
      <c r="AK1043" s="14" t="s">
        <v>98</v>
      </c>
    </row>
    <row r="1044" spans="33:37" x14ac:dyDescent="0.4">
      <c r="AG1044" s="56" t="s">
        <v>108</v>
      </c>
      <c r="AH1044" s="56" t="s">
        <v>108</v>
      </c>
      <c r="AI1044" s="14" t="s">
        <v>94</v>
      </c>
      <c r="AJ1044" s="14" t="s">
        <v>96</v>
      </c>
      <c r="AK1044" s="14" t="s">
        <v>98</v>
      </c>
    </row>
    <row r="1045" spans="33:37" x14ac:dyDescent="0.4">
      <c r="AG1045" s="56" t="s">
        <v>108</v>
      </c>
      <c r="AH1045" s="56" t="s">
        <v>108</v>
      </c>
      <c r="AI1045" s="14" t="s">
        <v>94</v>
      </c>
      <c r="AJ1045" s="14" t="s">
        <v>104</v>
      </c>
      <c r="AK1045" s="14" t="s">
        <v>98</v>
      </c>
    </row>
    <row r="1046" spans="33:37" x14ac:dyDescent="0.4">
      <c r="AG1046" s="56" t="s">
        <v>108</v>
      </c>
      <c r="AH1046" s="56" t="s">
        <v>108</v>
      </c>
      <c r="AI1046" s="14" t="s">
        <v>94</v>
      </c>
      <c r="AJ1046" s="14" t="s">
        <v>101</v>
      </c>
      <c r="AK1046" s="14" t="s">
        <v>98</v>
      </c>
    </row>
    <row r="1047" spans="33:37" x14ac:dyDescent="0.4">
      <c r="AG1047" s="56" t="s">
        <v>108</v>
      </c>
      <c r="AH1047" s="56" t="s">
        <v>108</v>
      </c>
      <c r="AI1047" s="14" t="s">
        <v>94</v>
      </c>
      <c r="AJ1047" s="56" t="s">
        <v>108</v>
      </c>
      <c r="AK1047" s="14" t="s">
        <v>129</v>
      </c>
    </row>
    <row r="1048" spans="33:37" x14ac:dyDescent="0.4">
      <c r="AG1048" s="56" t="s">
        <v>108</v>
      </c>
      <c r="AH1048" s="56" t="s">
        <v>108</v>
      </c>
      <c r="AI1048" s="14" t="s">
        <v>94</v>
      </c>
      <c r="AJ1048" s="14" t="s">
        <v>94</v>
      </c>
      <c r="AK1048" s="14" t="s">
        <v>129</v>
      </c>
    </row>
    <row r="1049" spans="33:37" x14ac:dyDescent="0.4">
      <c r="AG1049" s="56" t="s">
        <v>108</v>
      </c>
      <c r="AH1049" s="14" t="s">
        <v>94</v>
      </c>
      <c r="AI1049" s="14" t="s">
        <v>97</v>
      </c>
      <c r="AJ1049" s="14" t="s">
        <v>97</v>
      </c>
      <c r="AK1049" s="14" t="s">
        <v>98</v>
      </c>
    </row>
    <row r="1050" spans="33:37" x14ac:dyDescent="0.4">
      <c r="AG1050" s="56" t="s">
        <v>108</v>
      </c>
      <c r="AH1050" s="14" t="s">
        <v>94</v>
      </c>
      <c r="AI1050" s="14" t="s">
        <v>97</v>
      </c>
      <c r="AJ1050" s="14" t="s">
        <v>96</v>
      </c>
      <c r="AK1050" s="14" t="s">
        <v>98</v>
      </c>
    </row>
    <row r="1051" spans="33:37" x14ac:dyDescent="0.4">
      <c r="AG1051" s="56" t="s">
        <v>108</v>
      </c>
      <c r="AH1051" s="14" t="s">
        <v>94</v>
      </c>
      <c r="AI1051" s="14" t="s">
        <v>97</v>
      </c>
      <c r="AJ1051" s="14" t="s">
        <v>104</v>
      </c>
      <c r="AK1051" s="14" t="s">
        <v>98</v>
      </c>
    </row>
    <row r="1052" spans="33:37" x14ac:dyDescent="0.4">
      <c r="AG1052" s="56" t="s">
        <v>108</v>
      </c>
      <c r="AH1052" s="14" t="s">
        <v>94</v>
      </c>
      <c r="AI1052" s="14" t="s">
        <v>97</v>
      </c>
      <c r="AJ1052" s="14" t="s">
        <v>101</v>
      </c>
      <c r="AK1052" s="14" t="s">
        <v>98</v>
      </c>
    </row>
    <row r="1053" spans="33:37" x14ac:dyDescent="0.4">
      <c r="AG1053" s="56" t="s">
        <v>108</v>
      </c>
      <c r="AH1053" s="14" t="s">
        <v>94</v>
      </c>
      <c r="AI1053" s="14" t="s">
        <v>97</v>
      </c>
      <c r="AJ1053" s="56" t="s">
        <v>108</v>
      </c>
      <c r="AK1053" s="14" t="s">
        <v>98</v>
      </c>
    </row>
    <row r="1054" spans="33:37" x14ac:dyDescent="0.4">
      <c r="AG1054" s="56" t="s">
        <v>108</v>
      </c>
      <c r="AH1054" s="14" t="s">
        <v>94</v>
      </c>
      <c r="AI1054" s="14" t="s">
        <v>97</v>
      </c>
      <c r="AJ1054" s="14" t="s">
        <v>94</v>
      </c>
      <c r="AK1054" s="14" t="s">
        <v>98</v>
      </c>
    </row>
    <row r="1055" spans="33:37" x14ac:dyDescent="0.4">
      <c r="AG1055" s="56" t="s">
        <v>108</v>
      </c>
      <c r="AH1055" s="14" t="s">
        <v>94</v>
      </c>
      <c r="AI1055" s="14" t="s">
        <v>96</v>
      </c>
      <c r="AJ1055" s="14" t="s">
        <v>97</v>
      </c>
      <c r="AK1055" s="14" t="s">
        <v>98</v>
      </c>
    </row>
    <row r="1056" spans="33:37" x14ac:dyDescent="0.4">
      <c r="AG1056" s="56" t="s">
        <v>108</v>
      </c>
      <c r="AH1056" s="14" t="s">
        <v>94</v>
      </c>
      <c r="AI1056" s="14" t="s">
        <v>96</v>
      </c>
      <c r="AJ1056" s="14" t="s">
        <v>96</v>
      </c>
      <c r="AK1056" s="14" t="s">
        <v>98</v>
      </c>
    </row>
    <row r="1057" spans="33:37" x14ac:dyDescent="0.4">
      <c r="AG1057" s="56" t="s">
        <v>108</v>
      </c>
      <c r="AH1057" s="14" t="s">
        <v>94</v>
      </c>
      <c r="AI1057" s="14" t="s">
        <v>96</v>
      </c>
      <c r="AJ1057" s="14" t="s">
        <v>104</v>
      </c>
      <c r="AK1057" s="14" t="s">
        <v>98</v>
      </c>
    </row>
    <row r="1058" spans="33:37" x14ac:dyDescent="0.4">
      <c r="AG1058" s="56" t="s">
        <v>108</v>
      </c>
      <c r="AH1058" s="14" t="s">
        <v>94</v>
      </c>
      <c r="AI1058" s="14" t="s">
        <v>96</v>
      </c>
      <c r="AJ1058" s="14" t="s">
        <v>101</v>
      </c>
      <c r="AK1058" s="14" t="s">
        <v>98</v>
      </c>
    </row>
    <row r="1059" spans="33:37" x14ac:dyDescent="0.4">
      <c r="AG1059" s="56" t="s">
        <v>108</v>
      </c>
      <c r="AH1059" s="14" t="s">
        <v>94</v>
      </c>
      <c r="AI1059" s="14" t="s">
        <v>96</v>
      </c>
      <c r="AJ1059" s="56" t="s">
        <v>108</v>
      </c>
      <c r="AK1059" s="14" t="s">
        <v>98</v>
      </c>
    </row>
    <row r="1060" spans="33:37" x14ac:dyDescent="0.4">
      <c r="AG1060" s="56" t="s">
        <v>108</v>
      </c>
      <c r="AH1060" s="14" t="s">
        <v>94</v>
      </c>
      <c r="AI1060" s="14" t="s">
        <v>96</v>
      </c>
      <c r="AJ1060" s="14" t="s">
        <v>94</v>
      </c>
      <c r="AK1060" s="14" t="s">
        <v>98</v>
      </c>
    </row>
    <row r="1061" spans="33:37" x14ac:dyDescent="0.4">
      <c r="AG1061" s="56" t="s">
        <v>108</v>
      </c>
      <c r="AH1061" s="14" t="s">
        <v>94</v>
      </c>
      <c r="AI1061" s="14" t="s">
        <v>104</v>
      </c>
      <c r="AJ1061" s="14" t="s">
        <v>97</v>
      </c>
      <c r="AK1061" s="14" t="s">
        <v>98</v>
      </c>
    </row>
    <row r="1062" spans="33:37" x14ac:dyDescent="0.4">
      <c r="AG1062" s="56" t="s">
        <v>108</v>
      </c>
      <c r="AH1062" s="14" t="s">
        <v>94</v>
      </c>
      <c r="AI1062" s="14" t="s">
        <v>104</v>
      </c>
      <c r="AJ1062" s="14" t="s">
        <v>96</v>
      </c>
      <c r="AK1062" s="14" t="s">
        <v>98</v>
      </c>
    </row>
    <row r="1063" spans="33:37" x14ac:dyDescent="0.4">
      <c r="AG1063" s="56" t="s">
        <v>108</v>
      </c>
      <c r="AH1063" s="14" t="s">
        <v>94</v>
      </c>
      <c r="AI1063" s="14" t="s">
        <v>104</v>
      </c>
      <c r="AJ1063" s="14" t="s">
        <v>104</v>
      </c>
      <c r="AK1063" s="14" t="s">
        <v>98</v>
      </c>
    </row>
    <row r="1064" spans="33:37" x14ac:dyDescent="0.4">
      <c r="AG1064" s="56" t="s">
        <v>108</v>
      </c>
      <c r="AH1064" s="14" t="s">
        <v>94</v>
      </c>
      <c r="AI1064" s="14" t="s">
        <v>104</v>
      </c>
      <c r="AJ1064" s="14" t="s">
        <v>101</v>
      </c>
      <c r="AK1064" s="14" t="s">
        <v>98</v>
      </c>
    </row>
    <row r="1065" spans="33:37" x14ac:dyDescent="0.4">
      <c r="AG1065" s="56" t="s">
        <v>108</v>
      </c>
      <c r="AH1065" s="14" t="s">
        <v>94</v>
      </c>
      <c r="AI1065" s="14" t="s">
        <v>104</v>
      </c>
      <c r="AJ1065" s="56" t="s">
        <v>108</v>
      </c>
      <c r="AK1065" s="14" t="s">
        <v>98</v>
      </c>
    </row>
    <row r="1066" spans="33:37" x14ac:dyDescent="0.4">
      <c r="AG1066" s="56" t="s">
        <v>108</v>
      </c>
      <c r="AH1066" s="14" t="s">
        <v>94</v>
      </c>
      <c r="AI1066" s="14" t="s">
        <v>104</v>
      </c>
      <c r="AJ1066" s="14" t="s">
        <v>94</v>
      </c>
      <c r="AK1066" s="14" t="s">
        <v>98</v>
      </c>
    </row>
    <row r="1067" spans="33:37" x14ac:dyDescent="0.4">
      <c r="AG1067" s="56" t="s">
        <v>108</v>
      </c>
      <c r="AH1067" s="14" t="s">
        <v>94</v>
      </c>
      <c r="AI1067" s="14" t="s">
        <v>101</v>
      </c>
      <c r="AJ1067" s="14" t="s">
        <v>97</v>
      </c>
      <c r="AK1067" s="14" t="s">
        <v>98</v>
      </c>
    </row>
    <row r="1068" spans="33:37" x14ac:dyDescent="0.4">
      <c r="AG1068" s="56" t="s">
        <v>108</v>
      </c>
      <c r="AH1068" s="14" t="s">
        <v>94</v>
      </c>
      <c r="AI1068" s="14" t="s">
        <v>101</v>
      </c>
      <c r="AJ1068" s="14" t="s">
        <v>96</v>
      </c>
      <c r="AK1068" s="14" t="s">
        <v>98</v>
      </c>
    </row>
    <row r="1069" spans="33:37" x14ac:dyDescent="0.4">
      <c r="AG1069" s="56" t="s">
        <v>108</v>
      </c>
      <c r="AH1069" s="14" t="s">
        <v>94</v>
      </c>
      <c r="AI1069" s="14" t="s">
        <v>101</v>
      </c>
      <c r="AJ1069" s="14" t="s">
        <v>104</v>
      </c>
      <c r="AK1069" s="14" t="s">
        <v>98</v>
      </c>
    </row>
    <row r="1070" spans="33:37" x14ac:dyDescent="0.4">
      <c r="AG1070" s="56" t="s">
        <v>108</v>
      </c>
      <c r="AH1070" s="14" t="s">
        <v>94</v>
      </c>
      <c r="AI1070" s="14" t="s">
        <v>101</v>
      </c>
      <c r="AJ1070" s="14" t="s">
        <v>101</v>
      </c>
      <c r="AK1070" s="14" t="s">
        <v>98</v>
      </c>
    </row>
    <row r="1071" spans="33:37" x14ac:dyDescent="0.4">
      <c r="AG1071" s="56" t="s">
        <v>108</v>
      </c>
      <c r="AH1071" s="14" t="s">
        <v>94</v>
      </c>
      <c r="AI1071" s="14" t="s">
        <v>101</v>
      </c>
      <c r="AJ1071" s="56" t="s">
        <v>108</v>
      </c>
      <c r="AK1071" s="14" t="s">
        <v>129</v>
      </c>
    </row>
    <row r="1072" spans="33:37" x14ac:dyDescent="0.4">
      <c r="AG1072" s="56" t="s">
        <v>108</v>
      </c>
      <c r="AH1072" s="14" t="s">
        <v>94</v>
      </c>
      <c r="AI1072" s="14" t="s">
        <v>101</v>
      </c>
      <c r="AJ1072" s="14" t="s">
        <v>94</v>
      </c>
      <c r="AK1072" s="14" t="s">
        <v>129</v>
      </c>
    </row>
    <row r="1073" spans="33:37" x14ac:dyDescent="0.4">
      <c r="AG1073" s="56" t="s">
        <v>108</v>
      </c>
      <c r="AH1073" s="14" t="s">
        <v>94</v>
      </c>
      <c r="AI1073" s="56" t="s">
        <v>108</v>
      </c>
      <c r="AJ1073" s="14" t="s">
        <v>97</v>
      </c>
      <c r="AK1073" s="14" t="s">
        <v>98</v>
      </c>
    </row>
    <row r="1074" spans="33:37" x14ac:dyDescent="0.4">
      <c r="AG1074" s="56" t="s">
        <v>108</v>
      </c>
      <c r="AH1074" s="14" t="s">
        <v>94</v>
      </c>
      <c r="AI1074" s="56" t="s">
        <v>108</v>
      </c>
      <c r="AJ1074" s="14" t="s">
        <v>96</v>
      </c>
      <c r="AK1074" s="14" t="s">
        <v>98</v>
      </c>
    </row>
    <row r="1075" spans="33:37" x14ac:dyDescent="0.4">
      <c r="AG1075" s="56" t="s">
        <v>108</v>
      </c>
      <c r="AH1075" s="14" t="s">
        <v>94</v>
      </c>
      <c r="AI1075" s="56" t="s">
        <v>108</v>
      </c>
      <c r="AJ1075" s="14" t="s">
        <v>104</v>
      </c>
      <c r="AK1075" s="14" t="s">
        <v>98</v>
      </c>
    </row>
    <row r="1076" spans="33:37" x14ac:dyDescent="0.4">
      <c r="AG1076" s="56" t="s">
        <v>108</v>
      </c>
      <c r="AH1076" s="14" t="s">
        <v>94</v>
      </c>
      <c r="AI1076" s="56" t="s">
        <v>108</v>
      </c>
      <c r="AJ1076" s="14" t="s">
        <v>101</v>
      </c>
      <c r="AK1076" s="14" t="s">
        <v>98</v>
      </c>
    </row>
    <row r="1077" spans="33:37" x14ac:dyDescent="0.4">
      <c r="AG1077" s="56" t="s">
        <v>108</v>
      </c>
      <c r="AH1077" s="14" t="s">
        <v>94</v>
      </c>
      <c r="AI1077" s="56" t="s">
        <v>108</v>
      </c>
      <c r="AJ1077" s="56" t="s">
        <v>108</v>
      </c>
      <c r="AK1077" s="14" t="s">
        <v>129</v>
      </c>
    </row>
    <row r="1078" spans="33:37" x14ac:dyDescent="0.4">
      <c r="AG1078" s="56" t="s">
        <v>108</v>
      </c>
      <c r="AH1078" s="14" t="s">
        <v>94</v>
      </c>
      <c r="AI1078" s="56" t="s">
        <v>108</v>
      </c>
      <c r="AJ1078" s="14" t="s">
        <v>94</v>
      </c>
      <c r="AK1078" s="14" t="s">
        <v>129</v>
      </c>
    </row>
    <row r="1079" spans="33:37" x14ac:dyDescent="0.4">
      <c r="AG1079" s="56" t="s">
        <v>108</v>
      </c>
      <c r="AH1079" s="14" t="s">
        <v>94</v>
      </c>
      <c r="AI1079" s="14" t="s">
        <v>94</v>
      </c>
      <c r="AJ1079" s="14" t="s">
        <v>97</v>
      </c>
      <c r="AK1079" s="14" t="s">
        <v>98</v>
      </c>
    </row>
    <row r="1080" spans="33:37" x14ac:dyDescent="0.4">
      <c r="AG1080" s="56" t="s">
        <v>108</v>
      </c>
      <c r="AH1080" s="14" t="s">
        <v>94</v>
      </c>
      <c r="AI1080" s="14" t="s">
        <v>94</v>
      </c>
      <c r="AJ1080" s="14" t="s">
        <v>96</v>
      </c>
      <c r="AK1080" s="14" t="s">
        <v>98</v>
      </c>
    </row>
    <row r="1081" spans="33:37" x14ac:dyDescent="0.4">
      <c r="AG1081" s="56" t="s">
        <v>108</v>
      </c>
      <c r="AH1081" s="14" t="s">
        <v>94</v>
      </c>
      <c r="AI1081" s="14" t="s">
        <v>94</v>
      </c>
      <c r="AJ1081" s="14" t="s">
        <v>104</v>
      </c>
      <c r="AK1081" s="14" t="s">
        <v>98</v>
      </c>
    </row>
    <row r="1082" spans="33:37" x14ac:dyDescent="0.4">
      <c r="AG1082" s="56" t="s">
        <v>108</v>
      </c>
      <c r="AH1082" s="14" t="s">
        <v>94</v>
      </c>
      <c r="AI1082" s="14" t="s">
        <v>94</v>
      </c>
      <c r="AJ1082" s="14" t="s">
        <v>101</v>
      </c>
      <c r="AK1082" s="14" t="s">
        <v>98</v>
      </c>
    </row>
    <row r="1083" spans="33:37" x14ac:dyDescent="0.4">
      <c r="AG1083" s="56" t="s">
        <v>108</v>
      </c>
      <c r="AH1083" s="14" t="s">
        <v>94</v>
      </c>
      <c r="AI1083" s="14" t="s">
        <v>94</v>
      </c>
      <c r="AJ1083" s="56" t="s">
        <v>108</v>
      </c>
      <c r="AK1083" s="14" t="s">
        <v>129</v>
      </c>
    </row>
    <row r="1084" spans="33:37" x14ac:dyDescent="0.4">
      <c r="AG1084" s="56" t="s">
        <v>108</v>
      </c>
      <c r="AH1084" s="14" t="s">
        <v>94</v>
      </c>
      <c r="AI1084" s="14" t="s">
        <v>94</v>
      </c>
      <c r="AJ1084" s="14" t="s">
        <v>94</v>
      </c>
      <c r="AK1084" s="14" t="s">
        <v>129</v>
      </c>
    </row>
    <row r="1085" spans="33:37" x14ac:dyDescent="0.4">
      <c r="AG1085" s="71" t="s">
        <v>94</v>
      </c>
      <c r="AH1085" s="71" t="s">
        <v>97</v>
      </c>
      <c r="AI1085" s="71" t="s">
        <v>97</v>
      </c>
      <c r="AJ1085" s="71" t="s">
        <v>97</v>
      </c>
      <c r="AK1085" s="14" t="s">
        <v>98</v>
      </c>
    </row>
    <row r="1086" spans="33:37" x14ac:dyDescent="0.4">
      <c r="AG1086" s="71" t="s">
        <v>94</v>
      </c>
      <c r="AH1086" s="71" t="s">
        <v>97</v>
      </c>
      <c r="AI1086" s="71" t="s">
        <v>97</v>
      </c>
      <c r="AJ1086" s="71" t="s">
        <v>96</v>
      </c>
      <c r="AK1086" s="14" t="s">
        <v>98</v>
      </c>
    </row>
    <row r="1087" spans="33:37" x14ac:dyDescent="0.4">
      <c r="AG1087" s="71" t="s">
        <v>94</v>
      </c>
      <c r="AH1087" s="71" t="s">
        <v>97</v>
      </c>
      <c r="AI1087" s="71" t="s">
        <v>97</v>
      </c>
      <c r="AJ1087" s="71" t="s">
        <v>104</v>
      </c>
      <c r="AK1087" s="14" t="s">
        <v>98</v>
      </c>
    </row>
    <row r="1088" spans="33:37" x14ac:dyDescent="0.4">
      <c r="AG1088" s="71" t="s">
        <v>94</v>
      </c>
      <c r="AH1088" s="71" t="s">
        <v>97</v>
      </c>
      <c r="AI1088" s="71" t="s">
        <v>97</v>
      </c>
      <c r="AJ1088" s="71" t="s">
        <v>101</v>
      </c>
      <c r="AK1088" s="14" t="s">
        <v>98</v>
      </c>
    </row>
    <row r="1089" spans="33:37" x14ac:dyDescent="0.4">
      <c r="AG1089" s="71" t="s">
        <v>94</v>
      </c>
      <c r="AH1089" s="71" t="s">
        <v>97</v>
      </c>
      <c r="AI1089" s="71" t="s">
        <v>97</v>
      </c>
      <c r="AJ1089" s="72" t="s">
        <v>108</v>
      </c>
      <c r="AK1089" s="14" t="s">
        <v>98</v>
      </c>
    </row>
    <row r="1090" spans="33:37" x14ac:dyDescent="0.4">
      <c r="AG1090" s="71" t="s">
        <v>94</v>
      </c>
      <c r="AH1090" s="71" t="s">
        <v>97</v>
      </c>
      <c r="AI1090" s="71" t="s">
        <v>97</v>
      </c>
      <c r="AJ1090" s="71" t="s">
        <v>94</v>
      </c>
      <c r="AK1090" s="14" t="s">
        <v>98</v>
      </c>
    </row>
    <row r="1091" spans="33:37" x14ac:dyDescent="0.4">
      <c r="AG1091" s="71" t="s">
        <v>94</v>
      </c>
      <c r="AH1091" s="71" t="s">
        <v>97</v>
      </c>
      <c r="AI1091" s="71" t="s">
        <v>96</v>
      </c>
      <c r="AJ1091" s="71" t="s">
        <v>97</v>
      </c>
      <c r="AK1091" s="14" t="s">
        <v>98</v>
      </c>
    </row>
    <row r="1092" spans="33:37" x14ac:dyDescent="0.4">
      <c r="AG1092" s="71" t="s">
        <v>94</v>
      </c>
      <c r="AH1092" s="71" t="s">
        <v>97</v>
      </c>
      <c r="AI1092" s="71" t="s">
        <v>96</v>
      </c>
      <c r="AJ1092" s="71" t="s">
        <v>96</v>
      </c>
      <c r="AK1092" s="14" t="s">
        <v>98</v>
      </c>
    </row>
    <row r="1093" spans="33:37" x14ac:dyDescent="0.4">
      <c r="AG1093" s="71" t="s">
        <v>94</v>
      </c>
      <c r="AH1093" s="71" t="s">
        <v>97</v>
      </c>
      <c r="AI1093" s="71" t="s">
        <v>96</v>
      </c>
      <c r="AJ1093" s="71" t="s">
        <v>104</v>
      </c>
      <c r="AK1093" s="14" t="s">
        <v>98</v>
      </c>
    </row>
    <row r="1094" spans="33:37" x14ac:dyDescent="0.4">
      <c r="AG1094" s="71" t="s">
        <v>94</v>
      </c>
      <c r="AH1094" s="71" t="s">
        <v>97</v>
      </c>
      <c r="AI1094" s="71" t="s">
        <v>96</v>
      </c>
      <c r="AJ1094" s="71" t="s">
        <v>101</v>
      </c>
      <c r="AK1094" s="14" t="s">
        <v>98</v>
      </c>
    </row>
    <row r="1095" spans="33:37" x14ac:dyDescent="0.4">
      <c r="AG1095" s="71" t="s">
        <v>94</v>
      </c>
      <c r="AH1095" s="71" t="s">
        <v>97</v>
      </c>
      <c r="AI1095" s="71" t="s">
        <v>96</v>
      </c>
      <c r="AJ1095" s="72" t="s">
        <v>108</v>
      </c>
      <c r="AK1095" s="14" t="s">
        <v>98</v>
      </c>
    </row>
    <row r="1096" spans="33:37" x14ac:dyDescent="0.4">
      <c r="AG1096" s="71" t="s">
        <v>94</v>
      </c>
      <c r="AH1096" s="71" t="s">
        <v>97</v>
      </c>
      <c r="AI1096" s="71" t="s">
        <v>96</v>
      </c>
      <c r="AJ1096" s="71" t="s">
        <v>94</v>
      </c>
      <c r="AK1096" s="14" t="s">
        <v>98</v>
      </c>
    </row>
    <row r="1097" spans="33:37" x14ac:dyDescent="0.4">
      <c r="AG1097" s="71" t="s">
        <v>94</v>
      </c>
      <c r="AH1097" s="71" t="s">
        <v>97</v>
      </c>
      <c r="AI1097" s="71" t="s">
        <v>104</v>
      </c>
      <c r="AJ1097" s="71" t="s">
        <v>97</v>
      </c>
      <c r="AK1097" s="14" t="s">
        <v>98</v>
      </c>
    </row>
    <row r="1098" spans="33:37" x14ac:dyDescent="0.4">
      <c r="AG1098" s="71" t="s">
        <v>94</v>
      </c>
      <c r="AH1098" s="71" t="s">
        <v>97</v>
      </c>
      <c r="AI1098" s="71" t="s">
        <v>104</v>
      </c>
      <c r="AJ1098" s="71" t="s">
        <v>96</v>
      </c>
      <c r="AK1098" s="14" t="s">
        <v>98</v>
      </c>
    </row>
    <row r="1099" spans="33:37" x14ac:dyDescent="0.4">
      <c r="AG1099" s="71" t="s">
        <v>94</v>
      </c>
      <c r="AH1099" s="71" t="s">
        <v>97</v>
      </c>
      <c r="AI1099" s="71" t="s">
        <v>104</v>
      </c>
      <c r="AJ1099" s="71" t="s">
        <v>104</v>
      </c>
      <c r="AK1099" s="14" t="s">
        <v>98</v>
      </c>
    </row>
    <row r="1100" spans="33:37" x14ac:dyDescent="0.4">
      <c r="AG1100" s="71" t="s">
        <v>94</v>
      </c>
      <c r="AH1100" s="71" t="s">
        <v>97</v>
      </c>
      <c r="AI1100" s="71" t="s">
        <v>104</v>
      </c>
      <c r="AJ1100" s="71" t="s">
        <v>101</v>
      </c>
      <c r="AK1100" s="14" t="s">
        <v>98</v>
      </c>
    </row>
    <row r="1101" spans="33:37" x14ac:dyDescent="0.4">
      <c r="AG1101" s="71" t="s">
        <v>94</v>
      </c>
      <c r="AH1101" s="71" t="s">
        <v>97</v>
      </c>
      <c r="AI1101" s="71" t="s">
        <v>104</v>
      </c>
      <c r="AJ1101" s="72" t="s">
        <v>108</v>
      </c>
      <c r="AK1101" s="14" t="s">
        <v>98</v>
      </c>
    </row>
    <row r="1102" spans="33:37" x14ac:dyDescent="0.4">
      <c r="AG1102" s="71" t="s">
        <v>94</v>
      </c>
      <c r="AH1102" s="71" t="s">
        <v>97</v>
      </c>
      <c r="AI1102" s="71" t="s">
        <v>104</v>
      </c>
      <c r="AJ1102" s="71" t="s">
        <v>94</v>
      </c>
      <c r="AK1102" s="14" t="s">
        <v>98</v>
      </c>
    </row>
    <row r="1103" spans="33:37" x14ac:dyDescent="0.4">
      <c r="AG1103" s="71" t="s">
        <v>94</v>
      </c>
      <c r="AH1103" s="71" t="s">
        <v>97</v>
      </c>
      <c r="AI1103" s="71" t="s">
        <v>101</v>
      </c>
      <c r="AJ1103" s="71" t="s">
        <v>97</v>
      </c>
      <c r="AK1103" s="14" t="s">
        <v>98</v>
      </c>
    </row>
    <row r="1104" spans="33:37" x14ac:dyDescent="0.4">
      <c r="AG1104" s="71" t="s">
        <v>94</v>
      </c>
      <c r="AH1104" s="71" t="s">
        <v>97</v>
      </c>
      <c r="AI1104" s="71" t="s">
        <v>101</v>
      </c>
      <c r="AJ1104" s="71" t="s">
        <v>96</v>
      </c>
      <c r="AK1104" s="14" t="s">
        <v>98</v>
      </c>
    </row>
    <row r="1105" spans="33:37" x14ac:dyDescent="0.4">
      <c r="AG1105" s="71" t="s">
        <v>94</v>
      </c>
      <c r="AH1105" s="71" t="s">
        <v>97</v>
      </c>
      <c r="AI1105" s="71" t="s">
        <v>101</v>
      </c>
      <c r="AJ1105" s="71" t="s">
        <v>104</v>
      </c>
      <c r="AK1105" s="14" t="s">
        <v>98</v>
      </c>
    </row>
    <row r="1106" spans="33:37" x14ac:dyDescent="0.4">
      <c r="AG1106" s="71" t="s">
        <v>94</v>
      </c>
      <c r="AH1106" s="71" t="s">
        <v>97</v>
      </c>
      <c r="AI1106" s="71" t="s">
        <v>101</v>
      </c>
      <c r="AJ1106" s="71" t="s">
        <v>101</v>
      </c>
      <c r="AK1106" s="14" t="s">
        <v>98</v>
      </c>
    </row>
    <row r="1107" spans="33:37" x14ac:dyDescent="0.4">
      <c r="AG1107" s="71" t="s">
        <v>94</v>
      </c>
      <c r="AH1107" s="71" t="s">
        <v>97</v>
      </c>
      <c r="AI1107" s="71" t="s">
        <v>101</v>
      </c>
      <c r="AJ1107" s="72" t="s">
        <v>108</v>
      </c>
      <c r="AK1107" s="14" t="s">
        <v>98</v>
      </c>
    </row>
    <row r="1108" spans="33:37" x14ac:dyDescent="0.4">
      <c r="AG1108" s="71" t="s">
        <v>94</v>
      </c>
      <c r="AH1108" s="71" t="s">
        <v>97</v>
      </c>
      <c r="AI1108" s="71" t="s">
        <v>101</v>
      </c>
      <c r="AJ1108" s="71" t="s">
        <v>94</v>
      </c>
      <c r="AK1108" s="14" t="s">
        <v>98</v>
      </c>
    </row>
    <row r="1109" spans="33:37" x14ac:dyDescent="0.4">
      <c r="AG1109" s="71" t="s">
        <v>94</v>
      </c>
      <c r="AH1109" s="71" t="s">
        <v>97</v>
      </c>
      <c r="AI1109" s="72" t="s">
        <v>108</v>
      </c>
      <c r="AJ1109" s="71" t="s">
        <v>97</v>
      </c>
      <c r="AK1109" s="14" t="s">
        <v>98</v>
      </c>
    </row>
    <row r="1110" spans="33:37" x14ac:dyDescent="0.4">
      <c r="AG1110" s="71" t="s">
        <v>94</v>
      </c>
      <c r="AH1110" s="71" t="s">
        <v>97</v>
      </c>
      <c r="AI1110" s="72" t="s">
        <v>108</v>
      </c>
      <c r="AJ1110" s="71" t="s">
        <v>96</v>
      </c>
      <c r="AK1110" s="14" t="s">
        <v>98</v>
      </c>
    </row>
    <row r="1111" spans="33:37" x14ac:dyDescent="0.4">
      <c r="AG1111" s="71" t="s">
        <v>94</v>
      </c>
      <c r="AH1111" s="71" t="s">
        <v>97</v>
      </c>
      <c r="AI1111" s="72" t="s">
        <v>108</v>
      </c>
      <c r="AJ1111" s="71" t="s">
        <v>104</v>
      </c>
      <c r="AK1111" s="14" t="s">
        <v>98</v>
      </c>
    </row>
    <row r="1112" spans="33:37" x14ac:dyDescent="0.4">
      <c r="AG1112" s="71" t="s">
        <v>94</v>
      </c>
      <c r="AH1112" s="71" t="s">
        <v>97</v>
      </c>
      <c r="AI1112" s="72" t="s">
        <v>108</v>
      </c>
      <c r="AJ1112" s="71" t="s">
        <v>101</v>
      </c>
      <c r="AK1112" s="14" t="s">
        <v>98</v>
      </c>
    </row>
    <row r="1113" spans="33:37" x14ac:dyDescent="0.4">
      <c r="AG1113" s="71" t="s">
        <v>94</v>
      </c>
      <c r="AH1113" s="71" t="s">
        <v>97</v>
      </c>
      <c r="AI1113" s="72" t="s">
        <v>108</v>
      </c>
      <c r="AJ1113" s="72" t="s">
        <v>108</v>
      </c>
      <c r="AK1113" s="14" t="s">
        <v>98</v>
      </c>
    </row>
    <row r="1114" spans="33:37" x14ac:dyDescent="0.4">
      <c r="AG1114" s="71" t="s">
        <v>94</v>
      </c>
      <c r="AH1114" s="71" t="s">
        <v>97</v>
      </c>
      <c r="AI1114" s="72" t="s">
        <v>108</v>
      </c>
      <c r="AJ1114" s="71" t="s">
        <v>94</v>
      </c>
      <c r="AK1114" s="14" t="s">
        <v>98</v>
      </c>
    </row>
    <row r="1115" spans="33:37" x14ac:dyDescent="0.4">
      <c r="AG1115" s="71" t="s">
        <v>94</v>
      </c>
      <c r="AH1115" s="71" t="s">
        <v>97</v>
      </c>
      <c r="AI1115" s="71" t="s">
        <v>94</v>
      </c>
      <c r="AJ1115" s="71" t="s">
        <v>97</v>
      </c>
      <c r="AK1115" s="14" t="s">
        <v>98</v>
      </c>
    </row>
    <row r="1116" spans="33:37" x14ac:dyDescent="0.4">
      <c r="AG1116" s="71" t="s">
        <v>94</v>
      </c>
      <c r="AH1116" s="71" t="s">
        <v>97</v>
      </c>
      <c r="AI1116" s="71" t="s">
        <v>94</v>
      </c>
      <c r="AJ1116" s="71" t="s">
        <v>96</v>
      </c>
      <c r="AK1116" s="14" t="s">
        <v>98</v>
      </c>
    </row>
    <row r="1117" spans="33:37" x14ac:dyDescent="0.4">
      <c r="AG1117" s="71" t="s">
        <v>94</v>
      </c>
      <c r="AH1117" s="71" t="s">
        <v>97</v>
      </c>
      <c r="AI1117" s="71" t="s">
        <v>94</v>
      </c>
      <c r="AJ1117" s="71" t="s">
        <v>104</v>
      </c>
      <c r="AK1117" s="14" t="s">
        <v>98</v>
      </c>
    </row>
    <row r="1118" spans="33:37" x14ac:dyDescent="0.4">
      <c r="AG1118" s="71" t="s">
        <v>94</v>
      </c>
      <c r="AH1118" s="71" t="s">
        <v>97</v>
      </c>
      <c r="AI1118" s="71" t="s">
        <v>94</v>
      </c>
      <c r="AJ1118" s="71" t="s">
        <v>101</v>
      </c>
      <c r="AK1118" s="14" t="s">
        <v>98</v>
      </c>
    </row>
    <row r="1119" spans="33:37" x14ac:dyDescent="0.4">
      <c r="AG1119" s="71" t="s">
        <v>94</v>
      </c>
      <c r="AH1119" s="71" t="s">
        <v>97</v>
      </c>
      <c r="AI1119" s="71" t="s">
        <v>94</v>
      </c>
      <c r="AJ1119" s="72" t="s">
        <v>108</v>
      </c>
      <c r="AK1119" s="14" t="s">
        <v>98</v>
      </c>
    </row>
    <row r="1120" spans="33:37" x14ac:dyDescent="0.4">
      <c r="AG1120" s="71" t="s">
        <v>94</v>
      </c>
      <c r="AH1120" s="71" t="s">
        <v>97</v>
      </c>
      <c r="AI1120" s="71" t="s">
        <v>94</v>
      </c>
      <c r="AJ1120" s="71" t="s">
        <v>94</v>
      </c>
      <c r="AK1120" s="14" t="s">
        <v>98</v>
      </c>
    </row>
    <row r="1121" spans="33:37" x14ac:dyDescent="0.4">
      <c r="AG1121" s="71" t="s">
        <v>94</v>
      </c>
      <c r="AH1121" s="71" t="s">
        <v>96</v>
      </c>
      <c r="AI1121" s="71" t="s">
        <v>97</v>
      </c>
      <c r="AJ1121" s="71" t="s">
        <v>97</v>
      </c>
      <c r="AK1121" s="14" t="s">
        <v>98</v>
      </c>
    </row>
    <row r="1122" spans="33:37" x14ac:dyDescent="0.4">
      <c r="AG1122" s="71" t="s">
        <v>94</v>
      </c>
      <c r="AH1122" s="71" t="s">
        <v>96</v>
      </c>
      <c r="AI1122" s="71" t="s">
        <v>97</v>
      </c>
      <c r="AJ1122" s="71" t="s">
        <v>96</v>
      </c>
      <c r="AK1122" s="14" t="s">
        <v>98</v>
      </c>
    </row>
    <row r="1123" spans="33:37" x14ac:dyDescent="0.4">
      <c r="AG1123" s="71" t="s">
        <v>94</v>
      </c>
      <c r="AH1123" s="71" t="s">
        <v>96</v>
      </c>
      <c r="AI1123" s="71" t="s">
        <v>97</v>
      </c>
      <c r="AJ1123" s="71" t="s">
        <v>104</v>
      </c>
      <c r="AK1123" s="14" t="s">
        <v>98</v>
      </c>
    </row>
    <row r="1124" spans="33:37" x14ac:dyDescent="0.4">
      <c r="AG1124" s="71" t="s">
        <v>94</v>
      </c>
      <c r="AH1124" s="71" t="s">
        <v>96</v>
      </c>
      <c r="AI1124" s="71" t="s">
        <v>97</v>
      </c>
      <c r="AJ1124" s="71" t="s">
        <v>101</v>
      </c>
      <c r="AK1124" s="14" t="s">
        <v>98</v>
      </c>
    </row>
    <row r="1125" spans="33:37" x14ac:dyDescent="0.4">
      <c r="AG1125" s="71" t="s">
        <v>94</v>
      </c>
      <c r="AH1125" s="71" t="s">
        <v>96</v>
      </c>
      <c r="AI1125" s="71" t="s">
        <v>97</v>
      </c>
      <c r="AJ1125" s="72" t="s">
        <v>108</v>
      </c>
      <c r="AK1125" s="14" t="s">
        <v>98</v>
      </c>
    </row>
    <row r="1126" spans="33:37" x14ac:dyDescent="0.4">
      <c r="AG1126" s="71" t="s">
        <v>94</v>
      </c>
      <c r="AH1126" s="71" t="s">
        <v>96</v>
      </c>
      <c r="AI1126" s="71" t="s">
        <v>97</v>
      </c>
      <c r="AJ1126" s="71" t="s">
        <v>94</v>
      </c>
      <c r="AK1126" s="14" t="s">
        <v>98</v>
      </c>
    </row>
    <row r="1127" spans="33:37" x14ac:dyDescent="0.4">
      <c r="AG1127" s="71" t="s">
        <v>94</v>
      </c>
      <c r="AH1127" s="71" t="s">
        <v>96</v>
      </c>
      <c r="AI1127" s="71" t="s">
        <v>96</v>
      </c>
      <c r="AJ1127" s="71" t="s">
        <v>97</v>
      </c>
      <c r="AK1127" s="14" t="s">
        <v>98</v>
      </c>
    </row>
    <row r="1128" spans="33:37" x14ac:dyDescent="0.4">
      <c r="AG1128" s="71" t="s">
        <v>94</v>
      </c>
      <c r="AH1128" s="71" t="s">
        <v>96</v>
      </c>
      <c r="AI1128" s="71" t="s">
        <v>96</v>
      </c>
      <c r="AJ1128" s="71" t="s">
        <v>96</v>
      </c>
      <c r="AK1128" s="14" t="s">
        <v>98</v>
      </c>
    </row>
    <row r="1129" spans="33:37" x14ac:dyDescent="0.4">
      <c r="AG1129" s="71" t="s">
        <v>94</v>
      </c>
      <c r="AH1129" s="71" t="s">
        <v>96</v>
      </c>
      <c r="AI1129" s="71" t="s">
        <v>96</v>
      </c>
      <c r="AJ1129" s="71" t="s">
        <v>104</v>
      </c>
      <c r="AK1129" s="14" t="s">
        <v>98</v>
      </c>
    </row>
    <row r="1130" spans="33:37" x14ac:dyDescent="0.4">
      <c r="AG1130" s="71" t="s">
        <v>94</v>
      </c>
      <c r="AH1130" s="71" t="s">
        <v>96</v>
      </c>
      <c r="AI1130" s="71" t="s">
        <v>96</v>
      </c>
      <c r="AJ1130" s="71" t="s">
        <v>101</v>
      </c>
      <c r="AK1130" s="14" t="s">
        <v>98</v>
      </c>
    </row>
    <row r="1131" spans="33:37" x14ac:dyDescent="0.4">
      <c r="AG1131" s="71" t="s">
        <v>94</v>
      </c>
      <c r="AH1131" s="71" t="s">
        <v>96</v>
      </c>
      <c r="AI1131" s="71" t="s">
        <v>96</v>
      </c>
      <c r="AJ1131" s="72" t="s">
        <v>108</v>
      </c>
      <c r="AK1131" s="14" t="s">
        <v>98</v>
      </c>
    </row>
    <row r="1132" spans="33:37" x14ac:dyDescent="0.4">
      <c r="AG1132" s="71" t="s">
        <v>94</v>
      </c>
      <c r="AH1132" s="71" t="s">
        <v>96</v>
      </c>
      <c r="AI1132" s="71" t="s">
        <v>96</v>
      </c>
      <c r="AJ1132" s="71" t="s">
        <v>94</v>
      </c>
      <c r="AK1132" s="14" t="s">
        <v>98</v>
      </c>
    </row>
    <row r="1133" spans="33:37" x14ac:dyDescent="0.4">
      <c r="AG1133" s="71" t="s">
        <v>94</v>
      </c>
      <c r="AH1133" s="71" t="s">
        <v>96</v>
      </c>
      <c r="AI1133" s="71" t="s">
        <v>104</v>
      </c>
      <c r="AJ1133" s="71" t="s">
        <v>97</v>
      </c>
      <c r="AK1133" s="14" t="s">
        <v>98</v>
      </c>
    </row>
    <row r="1134" spans="33:37" x14ac:dyDescent="0.4">
      <c r="AG1134" s="71" t="s">
        <v>94</v>
      </c>
      <c r="AH1134" s="71" t="s">
        <v>96</v>
      </c>
      <c r="AI1134" s="71" t="s">
        <v>104</v>
      </c>
      <c r="AJ1134" s="71" t="s">
        <v>96</v>
      </c>
      <c r="AK1134" s="14" t="s">
        <v>98</v>
      </c>
    </row>
    <row r="1135" spans="33:37" x14ac:dyDescent="0.4">
      <c r="AG1135" s="71" t="s">
        <v>94</v>
      </c>
      <c r="AH1135" s="71" t="s">
        <v>96</v>
      </c>
      <c r="AI1135" s="71" t="s">
        <v>104</v>
      </c>
      <c r="AJ1135" s="71" t="s">
        <v>104</v>
      </c>
      <c r="AK1135" s="14" t="s">
        <v>98</v>
      </c>
    </row>
    <row r="1136" spans="33:37" x14ac:dyDescent="0.4">
      <c r="AG1136" s="71" t="s">
        <v>94</v>
      </c>
      <c r="AH1136" s="71" t="s">
        <v>96</v>
      </c>
      <c r="AI1136" s="71" t="s">
        <v>104</v>
      </c>
      <c r="AJ1136" s="71" t="s">
        <v>101</v>
      </c>
      <c r="AK1136" s="14" t="s">
        <v>98</v>
      </c>
    </row>
    <row r="1137" spans="33:37" x14ac:dyDescent="0.4">
      <c r="AG1137" s="71" t="s">
        <v>94</v>
      </c>
      <c r="AH1137" s="71" t="s">
        <v>96</v>
      </c>
      <c r="AI1137" s="71" t="s">
        <v>104</v>
      </c>
      <c r="AJ1137" s="72" t="s">
        <v>108</v>
      </c>
      <c r="AK1137" s="14" t="s">
        <v>98</v>
      </c>
    </row>
    <row r="1138" spans="33:37" x14ac:dyDescent="0.4">
      <c r="AG1138" s="71" t="s">
        <v>94</v>
      </c>
      <c r="AH1138" s="71" t="s">
        <v>96</v>
      </c>
      <c r="AI1138" s="71" t="s">
        <v>104</v>
      </c>
      <c r="AJ1138" s="71" t="s">
        <v>94</v>
      </c>
      <c r="AK1138" s="14" t="s">
        <v>98</v>
      </c>
    </row>
    <row r="1139" spans="33:37" x14ac:dyDescent="0.4">
      <c r="AG1139" s="71" t="s">
        <v>94</v>
      </c>
      <c r="AH1139" s="71" t="s">
        <v>96</v>
      </c>
      <c r="AI1139" s="71" t="s">
        <v>101</v>
      </c>
      <c r="AJ1139" s="71" t="s">
        <v>97</v>
      </c>
      <c r="AK1139" s="14" t="s">
        <v>98</v>
      </c>
    </row>
    <row r="1140" spans="33:37" x14ac:dyDescent="0.4">
      <c r="AG1140" s="71" t="s">
        <v>94</v>
      </c>
      <c r="AH1140" s="71" t="s">
        <v>96</v>
      </c>
      <c r="AI1140" s="71" t="s">
        <v>101</v>
      </c>
      <c r="AJ1140" s="71" t="s">
        <v>96</v>
      </c>
      <c r="AK1140" s="14" t="s">
        <v>98</v>
      </c>
    </row>
    <row r="1141" spans="33:37" x14ac:dyDescent="0.4">
      <c r="AG1141" s="71" t="s">
        <v>94</v>
      </c>
      <c r="AH1141" s="71" t="s">
        <v>96</v>
      </c>
      <c r="AI1141" s="71" t="s">
        <v>101</v>
      </c>
      <c r="AJ1141" s="71" t="s">
        <v>104</v>
      </c>
      <c r="AK1141" s="14" t="s">
        <v>98</v>
      </c>
    </row>
    <row r="1142" spans="33:37" x14ac:dyDescent="0.4">
      <c r="AG1142" s="71" t="s">
        <v>94</v>
      </c>
      <c r="AH1142" s="71" t="s">
        <v>96</v>
      </c>
      <c r="AI1142" s="71" t="s">
        <v>101</v>
      </c>
      <c r="AJ1142" s="71" t="s">
        <v>101</v>
      </c>
      <c r="AK1142" s="14" t="s">
        <v>98</v>
      </c>
    </row>
    <row r="1143" spans="33:37" x14ac:dyDescent="0.4">
      <c r="AG1143" s="71" t="s">
        <v>94</v>
      </c>
      <c r="AH1143" s="71" t="s">
        <v>96</v>
      </c>
      <c r="AI1143" s="71" t="s">
        <v>101</v>
      </c>
      <c r="AJ1143" s="72" t="s">
        <v>108</v>
      </c>
      <c r="AK1143" s="14" t="s">
        <v>98</v>
      </c>
    </row>
    <row r="1144" spans="33:37" x14ac:dyDescent="0.4">
      <c r="AG1144" s="71" t="s">
        <v>94</v>
      </c>
      <c r="AH1144" s="71" t="s">
        <v>96</v>
      </c>
      <c r="AI1144" s="71" t="s">
        <v>101</v>
      </c>
      <c r="AJ1144" s="71" t="s">
        <v>94</v>
      </c>
      <c r="AK1144" s="14" t="s">
        <v>98</v>
      </c>
    </row>
    <row r="1145" spans="33:37" x14ac:dyDescent="0.4">
      <c r="AG1145" s="71" t="s">
        <v>94</v>
      </c>
      <c r="AH1145" s="71" t="s">
        <v>96</v>
      </c>
      <c r="AI1145" s="72" t="s">
        <v>108</v>
      </c>
      <c r="AJ1145" s="71" t="s">
        <v>97</v>
      </c>
      <c r="AK1145" s="14" t="s">
        <v>98</v>
      </c>
    </row>
    <row r="1146" spans="33:37" x14ac:dyDescent="0.4">
      <c r="AG1146" s="71" t="s">
        <v>94</v>
      </c>
      <c r="AH1146" s="71" t="s">
        <v>96</v>
      </c>
      <c r="AI1146" s="72" t="s">
        <v>108</v>
      </c>
      <c r="AJ1146" s="71" t="s">
        <v>96</v>
      </c>
      <c r="AK1146" s="14" t="s">
        <v>98</v>
      </c>
    </row>
    <row r="1147" spans="33:37" x14ac:dyDescent="0.4">
      <c r="AG1147" s="71" t="s">
        <v>94</v>
      </c>
      <c r="AH1147" s="71" t="s">
        <v>96</v>
      </c>
      <c r="AI1147" s="72" t="s">
        <v>108</v>
      </c>
      <c r="AJ1147" s="71" t="s">
        <v>104</v>
      </c>
      <c r="AK1147" s="14" t="s">
        <v>98</v>
      </c>
    </row>
    <row r="1148" spans="33:37" x14ac:dyDescent="0.4">
      <c r="AG1148" s="71" t="s">
        <v>94</v>
      </c>
      <c r="AH1148" s="71" t="s">
        <v>96</v>
      </c>
      <c r="AI1148" s="72" t="s">
        <v>108</v>
      </c>
      <c r="AJ1148" s="71" t="s">
        <v>101</v>
      </c>
      <c r="AK1148" s="14" t="s">
        <v>98</v>
      </c>
    </row>
    <row r="1149" spans="33:37" x14ac:dyDescent="0.4">
      <c r="AG1149" s="71" t="s">
        <v>94</v>
      </c>
      <c r="AH1149" s="71" t="s">
        <v>96</v>
      </c>
      <c r="AI1149" s="72" t="s">
        <v>108</v>
      </c>
      <c r="AJ1149" s="72" t="s">
        <v>108</v>
      </c>
      <c r="AK1149" s="14" t="s">
        <v>98</v>
      </c>
    </row>
    <row r="1150" spans="33:37" x14ac:dyDescent="0.4">
      <c r="AG1150" s="71" t="s">
        <v>94</v>
      </c>
      <c r="AH1150" s="71" t="s">
        <v>96</v>
      </c>
      <c r="AI1150" s="72" t="s">
        <v>108</v>
      </c>
      <c r="AJ1150" s="71" t="s">
        <v>94</v>
      </c>
      <c r="AK1150" s="14" t="s">
        <v>98</v>
      </c>
    </row>
    <row r="1151" spans="33:37" x14ac:dyDescent="0.4">
      <c r="AG1151" s="71" t="s">
        <v>94</v>
      </c>
      <c r="AH1151" s="71" t="s">
        <v>96</v>
      </c>
      <c r="AI1151" s="71" t="s">
        <v>94</v>
      </c>
      <c r="AJ1151" s="71" t="s">
        <v>97</v>
      </c>
      <c r="AK1151" s="14" t="s">
        <v>98</v>
      </c>
    </row>
    <row r="1152" spans="33:37" x14ac:dyDescent="0.4">
      <c r="AG1152" s="71" t="s">
        <v>94</v>
      </c>
      <c r="AH1152" s="71" t="s">
        <v>96</v>
      </c>
      <c r="AI1152" s="71" t="s">
        <v>94</v>
      </c>
      <c r="AJ1152" s="71" t="s">
        <v>96</v>
      </c>
      <c r="AK1152" s="14" t="s">
        <v>98</v>
      </c>
    </row>
    <row r="1153" spans="33:37" x14ac:dyDescent="0.4">
      <c r="AG1153" s="71" t="s">
        <v>94</v>
      </c>
      <c r="AH1153" s="71" t="s">
        <v>96</v>
      </c>
      <c r="AI1153" s="71" t="s">
        <v>94</v>
      </c>
      <c r="AJ1153" s="71" t="s">
        <v>104</v>
      </c>
      <c r="AK1153" s="14" t="s">
        <v>98</v>
      </c>
    </row>
    <row r="1154" spans="33:37" x14ac:dyDescent="0.4">
      <c r="AG1154" s="71" t="s">
        <v>94</v>
      </c>
      <c r="AH1154" s="71" t="s">
        <v>96</v>
      </c>
      <c r="AI1154" s="71" t="s">
        <v>94</v>
      </c>
      <c r="AJ1154" s="71" t="s">
        <v>101</v>
      </c>
      <c r="AK1154" s="14" t="s">
        <v>98</v>
      </c>
    </row>
    <row r="1155" spans="33:37" x14ac:dyDescent="0.4">
      <c r="AG1155" s="71" t="s">
        <v>94</v>
      </c>
      <c r="AH1155" s="71" t="s">
        <v>96</v>
      </c>
      <c r="AI1155" s="71" t="s">
        <v>94</v>
      </c>
      <c r="AJ1155" s="72" t="s">
        <v>108</v>
      </c>
      <c r="AK1155" s="14" t="s">
        <v>98</v>
      </c>
    </row>
    <row r="1156" spans="33:37" x14ac:dyDescent="0.4">
      <c r="AG1156" s="71" t="s">
        <v>94</v>
      </c>
      <c r="AH1156" s="71" t="s">
        <v>96</v>
      </c>
      <c r="AI1156" s="71" t="s">
        <v>94</v>
      </c>
      <c r="AJ1156" s="71" t="s">
        <v>94</v>
      </c>
      <c r="AK1156" s="14" t="s">
        <v>98</v>
      </c>
    </row>
    <row r="1157" spans="33:37" x14ac:dyDescent="0.4">
      <c r="AG1157" s="71" t="s">
        <v>94</v>
      </c>
      <c r="AH1157" s="71" t="s">
        <v>104</v>
      </c>
      <c r="AI1157" s="71" t="s">
        <v>97</v>
      </c>
      <c r="AJ1157" s="71" t="s">
        <v>97</v>
      </c>
      <c r="AK1157" s="14" t="s">
        <v>98</v>
      </c>
    </row>
    <row r="1158" spans="33:37" x14ac:dyDescent="0.4">
      <c r="AG1158" s="71" t="s">
        <v>94</v>
      </c>
      <c r="AH1158" s="71" t="s">
        <v>104</v>
      </c>
      <c r="AI1158" s="71" t="s">
        <v>97</v>
      </c>
      <c r="AJ1158" s="71" t="s">
        <v>96</v>
      </c>
      <c r="AK1158" s="14" t="s">
        <v>98</v>
      </c>
    </row>
    <row r="1159" spans="33:37" x14ac:dyDescent="0.4">
      <c r="AG1159" s="71" t="s">
        <v>94</v>
      </c>
      <c r="AH1159" s="71" t="s">
        <v>104</v>
      </c>
      <c r="AI1159" s="71" t="s">
        <v>97</v>
      </c>
      <c r="AJ1159" s="71" t="s">
        <v>104</v>
      </c>
      <c r="AK1159" s="14" t="s">
        <v>98</v>
      </c>
    </row>
    <row r="1160" spans="33:37" x14ac:dyDescent="0.4">
      <c r="AG1160" s="71" t="s">
        <v>94</v>
      </c>
      <c r="AH1160" s="71" t="s">
        <v>104</v>
      </c>
      <c r="AI1160" s="71" t="s">
        <v>97</v>
      </c>
      <c r="AJ1160" s="71" t="s">
        <v>101</v>
      </c>
      <c r="AK1160" s="14" t="s">
        <v>98</v>
      </c>
    </row>
    <row r="1161" spans="33:37" x14ac:dyDescent="0.4">
      <c r="AG1161" s="71" t="s">
        <v>94</v>
      </c>
      <c r="AH1161" s="71" t="s">
        <v>104</v>
      </c>
      <c r="AI1161" s="71" t="s">
        <v>97</v>
      </c>
      <c r="AJ1161" s="72" t="s">
        <v>108</v>
      </c>
      <c r="AK1161" s="14" t="s">
        <v>98</v>
      </c>
    </row>
    <row r="1162" spans="33:37" x14ac:dyDescent="0.4">
      <c r="AG1162" s="71" t="s">
        <v>94</v>
      </c>
      <c r="AH1162" s="71" t="s">
        <v>104</v>
      </c>
      <c r="AI1162" s="71" t="s">
        <v>97</v>
      </c>
      <c r="AJ1162" s="71" t="s">
        <v>94</v>
      </c>
      <c r="AK1162" s="14" t="s">
        <v>98</v>
      </c>
    </row>
    <row r="1163" spans="33:37" x14ac:dyDescent="0.4">
      <c r="AG1163" s="71" t="s">
        <v>94</v>
      </c>
      <c r="AH1163" s="71" t="s">
        <v>104</v>
      </c>
      <c r="AI1163" s="71" t="s">
        <v>96</v>
      </c>
      <c r="AJ1163" s="71" t="s">
        <v>97</v>
      </c>
      <c r="AK1163" s="14" t="s">
        <v>98</v>
      </c>
    </row>
    <row r="1164" spans="33:37" x14ac:dyDescent="0.4">
      <c r="AG1164" s="71" t="s">
        <v>94</v>
      </c>
      <c r="AH1164" s="71" t="s">
        <v>104</v>
      </c>
      <c r="AI1164" s="71" t="s">
        <v>96</v>
      </c>
      <c r="AJ1164" s="71" t="s">
        <v>96</v>
      </c>
      <c r="AK1164" s="14" t="s">
        <v>98</v>
      </c>
    </row>
    <row r="1165" spans="33:37" x14ac:dyDescent="0.4">
      <c r="AG1165" s="71" t="s">
        <v>94</v>
      </c>
      <c r="AH1165" s="71" t="s">
        <v>104</v>
      </c>
      <c r="AI1165" s="71" t="s">
        <v>96</v>
      </c>
      <c r="AJ1165" s="71" t="s">
        <v>104</v>
      </c>
      <c r="AK1165" s="14" t="s">
        <v>98</v>
      </c>
    </row>
    <row r="1166" spans="33:37" x14ac:dyDescent="0.4">
      <c r="AG1166" s="71" t="s">
        <v>94</v>
      </c>
      <c r="AH1166" s="71" t="s">
        <v>104</v>
      </c>
      <c r="AI1166" s="71" t="s">
        <v>96</v>
      </c>
      <c r="AJ1166" s="71" t="s">
        <v>101</v>
      </c>
      <c r="AK1166" s="14" t="s">
        <v>98</v>
      </c>
    </row>
    <row r="1167" spans="33:37" x14ac:dyDescent="0.4">
      <c r="AG1167" s="71" t="s">
        <v>94</v>
      </c>
      <c r="AH1167" s="71" t="s">
        <v>104</v>
      </c>
      <c r="AI1167" s="71" t="s">
        <v>96</v>
      </c>
      <c r="AJ1167" s="72" t="s">
        <v>108</v>
      </c>
      <c r="AK1167" s="14" t="s">
        <v>98</v>
      </c>
    </row>
    <row r="1168" spans="33:37" x14ac:dyDescent="0.4">
      <c r="AG1168" s="71" t="s">
        <v>94</v>
      </c>
      <c r="AH1168" s="71" t="s">
        <v>104</v>
      </c>
      <c r="AI1168" s="71" t="s">
        <v>96</v>
      </c>
      <c r="AJ1168" s="71" t="s">
        <v>94</v>
      </c>
      <c r="AK1168" s="14" t="s">
        <v>98</v>
      </c>
    </row>
    <row r="1169" spans="33:37" x14ac:dyDescent="0.4">
      <c r="AG1169" s="71" t="s">
        <v>94</v>
      </c>
      <c r="AH1169" s="71" t="s">
        <v>104</v>
      </c>
      <c r="AI1169" s="71" t="s">
        <v>104</v>
      </c>
      <c r="AJ1169" s="71" t="s">
        <v>97</v>
      </c>
      <c r="AK1169" s="14" t="s">
        <v>98</v>
      </c>
    </row>
    <row r="1170" spans="33:37" x14ac:dyDescent="0.4">
      <c r="AG1170" s="71" t="s">
        <v>94</v>
      </c>
      <c r="AH1170" s="71" t="s">
        <v>104</v>
      </c>
      <c r="AI1170" s="71" t="s">
        <v>104</v>
      </c>
      <c r="AJ1170" s="71" t="s">
        <v>96</v>
      </c>
      <c r="AK1170" s="14" t="s">
        <v>98</v>
      </c>
    </row>
    <row r="1171" spans="33:37" x14ac:dyDescent="0.4">
      <c r="AG1171" s="71" t="s">
        <v>94</v>
      </c>
      <c r="AH1171" s="71" t="s">
        <v>104</v>
      </c>
      <c r="AI1171" s="71" t="s">
        <v>104</v>
      </c>
      <c r="AJ1171" s="71" t="s">
        <v>104</v>
      </c>
      <c r="AK1171" s="14" t="s">
        <v>98</v>
      </c>
    </row>
    <row r="1172" spans="33:37" x14ac:dyDescent="0.4">
      <c r="AG1172" s="71" t="s">
        <v>94</v>
      </c>
      <c r="AH1172" s="71" t="s">
        <v>104</v>
      </c>
      <c r="AI1172" s="71" t="s">
        <v>104</v>
      </c>
      <c r="AJ1172" s="71" t="s">
        <v>101</v>
      </c>
      <c r="AK1172" s="14" t="s">
        <v>98</v>
      </c>
    </row>
    <row r="1173" spans="33:37" x14ac:dyDescent="0.4">
      <c r="AG1173" s="71" t="s">
        <v>94</v>
      </c>
      <c r="AH1173" s="71" t="s">
        <v>104</v>
      </c>
      <c r="AI1173" s="71" t="s">
        <v>104</v>
      </c>
      <c r="AJ1173" s="72" t="s">
        <v>108</v>
      </c>
      <c r="AK1173" s="14" t="s">
        <v>98</v>
      </c>
    </row>
    <row r="1174" spans="33:37" x14ac:dyDescent="0.4">
      <c r="AG1174" s="71" t="s">
        <v>94</v>
      </c>
      <c r="AH1174" s="71" t="s">
        <v>104</v>
      </c>
      <c r="AI1174" s="71" t="s">
        <v>104</v>
      </c>
      <c r="AJ1174" s="71" t="s">
        <v>94</v>
      </c>
      <c r="AK1174" s="14" t="s">
        <v>98</v>
      </c>
    </row>
    <row r="1175" spans="33:37" x14ac:dyDescent="0.4">
      <c r="AG1175" s="71" t="s">
        <v>94</v>
      </c>
      <c r="AH1175" s="71" t="s">
        <v>104</v>
      </c>
      <c r="AI1175" s="71" t="s">
        <v>101</v>
      </c>
      <c r="AJ1175" s="71" t="s">
        <v>97</v>
      </c>
      <c r="AK1175" s="14" t="s">
        <v>98</v>
      </c>
    </row>
    <row r="1176" spans="33:37" x14ac:dyDescent="0.4">
      <c r="AG1176" s="71" t="s">
        <v>94</v>
      </c>
      <c r="AH1176" s="71" t="s">
        <v>104</v>
      </c>
      <c r="AI1176" s="71" t="s">
        <v>101</v>
      </c>
      <c r="AJ1176" s="71" t="s">
        <v>96</v>
      </c>
      <c r="AK1176" s="14" t="s">
        <v>98</v>
      </c>
    </row>
    <row r="1177" spans="33:37" x14ac:dyDescent="0.4">
      <c r="AG1177" s="71" t="s">
        <v>94</v>
      </c>
      <c r="AH1177" s="71" t="s">
        <v>104</v>
      </c>
      <c r="AI1177" s="71" t="s">
        <v>101</v>
      </c>
      <c r="AJ1177" s="71" t="s">
        <v>104</v>
      </c>
      <c r="AK1177" s="14" t="s">
        <v>98</v>
      </c>
    </row>
    <row r="1178" spans="33:37" x14ac:dyDescent="0.4">
      <c r="AG1178" s="71" t="s">
        <v>94</v>
      </c>
      <c r="AH1178" s="71" t="s">
        <v>104</v>
      </c>
      <c r="AI1178" s="71" t="s">
        <v>101</v>
      </c>
      <c r="AJ1178" s="71" t="s">
        <v>101</v>
      </c>
      <c r="AK1178" s="14" t="s">
        <v>98</v>
      </c>
    </row>
    <row r="1179" spans="33:37" x14ac:dyDescent="0.4">
      <c r="AG1179" s="71" t="s">
        <v>94</v>
      </c>
      <c r="AH1179" s="71" t="s">
        <v>104</v>
      </c>
      <c r="AI1179" s="71" t="s">
        <v>101</v>
      </c>
      <c r="AJ1179" s="72" t="s">
        <v>108</v>
      </c>
      <c r="AK1179" s="14" t="s">
        <v>129</v>
      </c>
    </row>
    <row r="1180" spans="33:37" x14ac:dyDescent="0.4">
      <c r="AG1180" s="71" t="s">
        <v>94</v>
      </c>
      <c r="AH1180" s="71" t="s">
        <v>104</v>
      </c>
      <c r="AI1180" s="71" t="s">
        <v>101</v>
      </c>
      <c r="AJ1180" s="71" t="s">
        <v>94</v>
      </c>
      <c r="AK1180" s="14" t="s">
        <v>129</v>
      </c>
    </row>
    <row r="1181" spans="33:37" x14ac:dyDescent="0.4">
      <c r="AG1181" s="71" t="s">
        <v>94</v>
      </c>
      <c r="AH1181" s="71" t="s">
        <v>104</v>
      </c>
      <c r="AI1181" s="72" t="s">
        <v>108</v>
      </c>
      <c r="AJ1181" s="71" t="s">
        <v>97</v>
      </c>
      <c r="AK1181" s="14" t="s">
        <v>98</v>
      </c>
    </row>
    <row r="1182" spans="33:37" x14ac:dyDescent="0.4">
      <c r="AG1182" s="71" t="s">
        <v>94</v>
      </c>
      <c r="AH1182" s="71" t="s">
        <v>104</v>
      </c>
      <c r="AI1182" s="72" t="s">
        <v>108</v>
      </c>
      <c r="AJ1182" s="71" t="s">
        <v>96</v>
      </c>
      <c r="AK1182" s="14" t="s">
        <v>98</v>
      </c>
    </row>
    <row r="1183" spans="33:37" x14ac:dyDescent="0.4">
      <c r="AG1183" s="71" t="s">
        <v>94</v>
      </c>
      <c r="AH1183" s="71" t="s">
        <v>104</v>
      </c>
      <c r="AI1183" s="72" t="s">
        <v>108</v>
      </c>
      <c r="AJ1183" s="71" t="s">
        <v>104</v>
      </c>
      <c r="AK1183" s="14" t="s">
        <v>98</v>
      </c>
    </row>
    <row r="1184" spans="33:37" x14ac:dyDescent="0.4">
      <c r="AG1184" s="71" t="s">
        <v>94</v>
      </c>
      <c r="AH1184" s="71" t="s">
        <v>104</v>
      </c>
      <c r="AI1184" s="72" t="s">
        <v>108</v>
      </c>
      <c r="AJ1184" s="71" t="s">
        <v>101</v>
      </c>
      <c r="AK1184" s="14" t="s">
        <v>98</v>
      </c>
    </row>
    <row r="1185" spans="33:37" x14ac:dyDescent="0.4">
      <c r="AG1185" s="71" t="s">
        <v>94</v>
      </c>
      <c r="AH1185" s="71" t="s">
        <v>104</v>
      </c>
      <c r="AI1185" s="72" t="s">
        <v>108</v>
      </c>
      <c r="AJ1185" s="72" t="s">
        <v>108</v>
      </c>
      <c r="AK1185" s="14" t="s">
        <v>129</v>
      </c>
    </row>
    <row r="1186" spans="33:37" x14ac:dyDescent="0.4">
      <c r="AG1186" s="71" t="s">
        <v>94</v>
      </c>
      <c r="AH1186" s="71" t="s">
        <v>104</v>
      </c>
      <c r="AI1186" s="72" t="s">
        <v>108</v>
      </c>
      <c r="AJ1186" s="71" t="s">
        <v>94</v>
      </c>
      <c r="AK1186" s="14" t="s">
        <v>129</v>
      </c>
    </row>
    <row r="1187" spans="33:37" x14ac:dyDescent="0.4">
      <c r="AG1187" s="71" t="s">
        <v>94</v>
      </c>
      <c r="AH1187" s="71" t="s">
        <v>104</v>
      </c>
      <c r="AI1187" s="71" t="s">
        <v>94</v>
      </c>
      <c r="AJ1187" s="71" t="s">
        <v>97</v>
      </c>
      <c r="AK1187" s="14" t="s">
        <v>98</v>
      </c>
    </row>
    <row r="1188" spans="33:37" x14ac:dyDescent="0.4">
      <c r="AG1188" s="71" t="s">
        <v>94</v>
      </c>
      <c r="AH1188" s="71" t="s">
        <v>104</v>
      </c>
      <c r="AI1188" s="71" t="s">
        <v>94</v>
      </c>
      <c r="AJ1188" s="71" t="s">
        <v>96</v>
      </c>
      <c r="AK1188" s="14" t="s">
        <v>98</v>
      </c>
    </row>
    <row r="1189" spans="33:37" x14ac:dyDescent="0.4">
      <c r="AG1189" s="71" t="s">
        <v>94</v>
      </c>
      <c r="AH1189" s="71" t="s">
        <v>104</v>
      </c>
      <c r="AI1189" s="71" t="s">
        <v>94</v>
      </c>
      <c r="AJ1189" s="71" t="s">
        <v>104</v>
      </c>
      <c r="AK1189" s="14" t="s">
        <v>98</v>
      </c>
    </row>
    <row r="1190" spans="33:37" x14ac:dyDescent="0.4">
      <c r="AG1190" s="71" t="s">
        <v>94</v>
      </c>
      <c r="AH1190" s="71" t="s">
        <v>104</v>
      </c>
      <c r="AI1190" s="71" t="s">
        <v>94</v>
      </c>
      <c r="AJ1190" s="71" t="s">
        <v>101</v>
      </c>
      <c r="AK1190" s="14" t="s">
        <v>98</v>
      </c>
    </row>
    <row r="1191" spans="33:37" x14ac:dyDescent="0.4">
      <c r="AG1191" s="71" t="s">
        <v>94</v>
      </c>
      <c r="AH1191" s="71" t="s">
        <v>104</v>
      </c>
      <c r="AI1191" s="71" t="s">
        <v>94</v>
      </c>
      <c r="AJ1191" s="72" t="s">
        <v>108</v>
      </c>
      <c r="AK1191" s="14" t="s">
        <v>129</v>
      </c>
    </row>
    <row r="1192" spans="33:37" x14ac:dyDescent="0.4">
      <c r="AG1192" s="71" t="s">
        <v>94</v>
      </c>
      <c r="AH1192" s="71" t="s">
        <v>104</v>
      </c>
      <c r="AI1192" s="71" t="s">
        <v>94</v>
      </c>
      <c r="AJ1192" s="71" t="s">
        <v>94</v>
      </c>
      <c r="AK1192" s="14" t="s">
        <v>129</v>
      </c>
    </row>
    <row r="1193" spans="33:37" x14ac:dyDescent="0.4">
      <c r="AG1193" s="71" t="s">
        <v>94</v>
      </c>
      <c r="AH1193" s="71" t="s">
        <v>101</v>
      </c>
      <c r="AI1193" s="71" t="s">
        <v>97</v>
      </c>
      <c r="AJ1193" s="71" t="s">
        <v>97</v>
      </c>
      <c r="AK1193" s="14" t="s">
        <v>98</v>
      </c>
    </row>
    <row r="1194" spans="33:37" x14ac:dyDescent="0.4">
      <c r="AG1194" s="71" t="s">
        <v>94</v>
      </c>
      <c r="AH1194" s="71" t="s">
        <v>101</v>
      </c>
      <c r="AI1194" s="71" t="s">
        <v>97</v>
      </c>
      <c r="AJ1194" s="71" t="s">
        <v>96</v>
      </c>
      <c r="AK1194" s="14" t="s">
        <v>98</v>
      </c>
    </row>
    <row r="1195" spans="33:37" x14ac:dyDescent="0.4">
      <c r="AG1195" s="71" t="s">
        <v>94</v>
      </c>
      <c r="AH1195" s="71" t="s">
        <v>101</v>
      </c>
      <c r="AI1195" s="71" t="s">
        <v>97</v>
      </c>
      <c r="AJ1195" s="71" t="s">
        <v>104</v>
      </c>
      <c r="AK1195" s="14" t="s">
        <v>98</v>
      </c>
    </row>
    <row r="1196" spans="33:37" x14ac:dyDescent="0.4">
      <c r="AG1196" s="71" t="s">
        <v>94</v>
      </c>
      <c r="AH1196" s="71" t="s">
        <v>101</v>
      </c>
      <c r="AI1196" s="71" t="s">
        <v>97</v>
      </c>
      <c r="AJ1196" s="71" t="s">
        <v>101</v>
      </c>
      <c r="AK1196" s="14" t="s">
        <v>98</v>
      </c>
    </row>
    <row r="1197" spans="33:37" x14ac:dyDescent="0.4">
      <c r="AG1197" s="71" t="s">
        <v>94</v>
      </c>
      <c r="AH1197" s="71" t="s">
        <v>101</v>
      </c>
      <c r="AI1197" s="71" t="s">
        <v>97</v>
      </c>
      <c r="AJ1197" s="72" t="s">
        <v>108</v>
      </c>
      <c r="AK1197" s="14" t="s">
        <v>98</v>
      </c>
    </row>
    <row r="1198" spans="33:37" x14ac:dyDescent="0.4">
      <c r="AG1198" s="71" t="s">
        <v>94</v>
      </c>
      <c r="AH1198" s="71" t="s">
        <v>101</v>
      </c>
      <c r="AI1198" s="71" t="s">
        <v>97</v>
      </c>
      <c r="AJ1198" s="71" t="s">
        <v>94</v>
      </c>
      <c r="AK1198" s="14" t="s">
        <v>98</v>
      </c>
    </row>
    <row r="1199" spans="33:37" x14ac:dyDescent="0.4">
      <c r="AG1199" s="71" t="s">
        <v>94</v>
      </c>
      <c r="AH1199" s="71" t="s">
        <v>101</v>
      </c>
      <c r="AI1199" s="71" t="s">
        <v>96</v>
      </c>
      <c r="AJ1199" s="71" t="s">
        <v>97</v>
      </c>
      <c r="AK1199" s="14" t="s">
        <v>98</v>
      </c>
    </row>
    <row r="1200" spans="33:37" x14ac:dyDescent="0.4">
      <c r="AG1200" s="71" t="s">
        <v>94</v>
      </c>
      <c r="AH1200" s="71" t="s">
        <v>101</v>
      </c>
      <c r="AI1200" s="71" t="s">
        <v>96</v>
      </c>
      <c r="AJ1200" s="71" t="s">
        <v>96</v>
      </c>
      <c r="AK1200" s="14" t="s">
        <v>98</v>
      </c>
    </row>
    <row r="1201" spans="33:37" x14ac:dyDescent="0.4">
      <c r="AG1201" s="71" t="s">
        <v>94</v>
      </c>
      <c r="AH1201" s="71" t="s">
        <v>101</v>
      </c>
      <c r="AI1201" s="71" t="s">
        <v>96</v>
      </c>
      <c r="AJ1201" s="71" t="s">
        <v>104</v>
      </c>
      <c r="AK1201" s="14" t="s">
        <v>98</v>
      </c>
    </row>
    <row r="1202" spans="33:37" x14ac:dyDescent="0.4">
      <c r="AG1202" s="71" t="s">
        <v>94</v>
      </c>
      <c r="AH1202" s="71" t="s">
        <v>101</v>
      </c>
      <c r="AI1202" s="71" t="s">
        <v>96</v>
      </c>
      <c r="AJ1202" s="71" t="s">
        <v>101</v>
      </c>
      <c r="AK1202" s="14" t="s">
        <v>98</v>
      </c>
    </row>
    <row r="1203" spans="33:37" x14ac:dyDescent="0.4">
      <c r="AG1203" s="71" t="s">
        <v>94</v>
      </c>
      <c r="AH1203" s="71" t="s">
        <v>101</v>
      </c>
      <c r="AI1203" s="71" t="s">
        <v>96</v>
      </c>
      <c r="AJ1203" s="72" t="s">
        <v>108</v>
      </c>
      <c r="AK1203" s="14" t="s">
        <v>98</v>
      </c>
    </row>
    <row r="1204" spans="33:37" x14ac:dyDescent="0.4">
      <c r="AG1204" s="71" t="s">
        <v>94</v>
      </c>
      <c r="AH1204" s="71" t="s">
        <v>101</v>
      </c>
      <c r="AI1204" s="71" t="s">
        <v>96</v>
      </c>
      <c r="AJ1204" s="71" t="s">
        <v>94</v>
      </c>
      <c r="AK1204" s="14" t="s">
        <v>98</v>
      </c>
    </row>
    <row r="1205" spans="33:37" x14ac:dyDescent="0.4">
      <c r="AG1205" s="71" t="s">
        <v>94</v>
      </c>
      <c r="AH1205" s="71" t="s">
        <v>101</v>
      </c>
      <c r="AI1205" s="71" t="s">
        <v>104</v>
      </c>
      <c r="AJ1205" s="71" t="s">
        <v>97</v>
      </c>
      <c r="AK1205" s="14" t="s">
        <v>98</v>
      </c>
    </row>
    <row r="1206" spans="33:37" x14ac:dyDescent="0.4">
      <c r="AG1206" s="71" t="s">
        <v>94</v>
      </c>
      <c r="AH1206" s="71" t="s">
        <v>101</v>
      </c>
      <c r="AI1206" s="71" t="s">
        <v>104</v>
      </c>
      <c r="AJ1206" s="71" t="s">
        <v>96</v>
      </c>
      <c r="AK1206" s="14" t="s">
        <v>98</v>
      </c>
    </row>
    <row r="1207" spans="33:37" x14ac:dyDescent="0.4">
      <c r="AG1207" s="71" t="s">
        <v>94</v>
      </c>
      <c r="AH1207" s="71" t="s">
        <v>101</v>
      </c>
      <c r="AI1207" s="71" t="s">
        <v>104</v>
      </c>
      <c r="AJ1207" s="71" t="s">
        <v>104</v>
      </c>
      <c r="AK1207" s="14" t="s">
        <v>98</v>
      </c>
    </row>
    <row r="1208" spans="33:37" x14ac:dyDescent="0.4">
      <c r="AG1208" s="71" t="s">
        <v>94</v>
      </c>
      <c r="AH1208" s="71" t="s">
        <v>101</v>
      </c>
      <c r="AI1208" s="71" t="s">
        <v>104</v>
      </c>
      <c r="AJ1208" s="71" t="s">
        <v>101</v>
      </c>
      <c r="AK1208" s="14" t="s">
        <v>98</v>
      </c>
    </row>
    <row r="1209" spans="33:37" x14ac:dyDescent="0.4">
      <c r="AG1209" s="71" t="s">
        <v>94</v>
      </c>
      <c r="AH1209" s="71" t="s">
        <v>101</v>
      </c>
      <c r="AI1209" s="71" t="s">
        <v>104</v>
      </c>
      <c r="AJ1209" s="72" t="s">
        <v>108</v>
      </c>
      <c r="AK1209" s="14" t="s">
        <v>98</v>
      </c>
    </row>
    <row r="1210" spans="33:37" x14ac:dyDescent="0.4">
      <c r="AG1210" s="71" t="s">
        <v>94</v>
      </c>
      <c r="AH1210" s="71" t="s">
        <v>101</v>
      </c>
      <c r="AI1210" s="71" t="s">
        <v>104</v>
      </c>
      <c r="AJ1210" s="71" t="s">
        <v>94</v>
      </c>
      <c r="AK1210" s="14" t="s">
        <v>98</v>
      </c>
    </row>
    <row r="1211" spans="33:37" x14ac:dyDescent="0.4">
      <c r="AG1211" s="71" t="s">
        <v>94</v>
      </c>
      <c r="AH1211" s="71" t="s">
        <v>101</v>
      </c>
      <c r="AI1211" s="71" t="s">
        <v>101</v>
      </c>
      <c r="AJ1211" s="71" t="s">
        <v>97</v>
      </c>
      <c r="AK1211" s="14" t="s">
        <v>98</v>
      </c>
    </row>
    <row r="1212" spans="33:37" x14ac:dyDescent="0.4">
      <c r="AG1212" s="71" t="s">
        <v>94</v>
      </c>
      <c r="AH1212" s="71" t="s">
        <v>101</v>
      </c>
      <c r="AI1212" s="71" t="s">
        <v>101</v>
      </c>
      <c r="AJ1212" s="71" t="s">
        <v>96</v>
      </c>
      <c r="AK1212" s="14" t="s">
        <v>98</v>
      </c>
    </row>
    <row r="1213" spans="33:37" x14ac:dyDescent="0.4">
      <c r="AG1213" s="71" t="s">
        <v>94</v>
      </c>
      <c r="AH1213" s="71" t="s">
        <v>101</v>
      </c>
      <c r="AI1213" s="71" t="s">
        <v>101</v>
      </c>
      <c r="AJ1213" s="71" t="s">
        <v>104</v>
      </c>
      <c r="AK1213" s="14" t="s">
        <v>98</v>
      </c>
    </row>
    <row r="1214" spans="33:37" x14ac:dyDescent="0.4">
      <c r="AG1214" s="71" t="s">
        <v>94</v>
      </c>
      <c r="AH1214" s="71" t="s">
        <v>101</v>
      </c>
      <c r="AI1214" s="71" t="s">
        <v>101</v>
      </c>
      <c r="AJ1214" s="71" t="s">
        <v>101</v>
      </c>
      <c r="AK1214" s="14" t="s">
        <v>98</v>
      </c>
    </row>
    <row r="1215" spans="33:37" x14ac:dyDescent="0.4">
      <c r="AG1215" s="71" t="s">
        <v>94</v>
      </c>
      <c r="AH1215" s="71" t="s">
        <v>101</v>
      </c>
      <c r="AI1215" s="71" t="s">
        <v>101</v>
      </c>
      <c r="AJ1215" s="72" t="s">
        <v>108</v>
      </c>
      <c r="AK1215" s="14" t="s">
        <v>129</v>
      </c>
    </row>
    <row r="1216" spans="33:37" x14ac:dyDescent="0.4">
      <c r="AG1216" s="71" t="s">
        <v>94</v>
      </c>
      <c r="AH1216" s="71" t="s">
        <v>101</v>
      </c>
      <c r="AI1216" s="71" t="s">
        <v>101</v>
      </c>
      <c r="AJ1216" s="71" t="s">
        <v>94</v>
      </c>
      <c r="AK1216" s="14" t="s">
        <v>129</v>
      </c>
    </row>
    <row r="1217" spans="33:37" x14ac:dyDescent="0.4">
      <c r="AG1217" s="71" t="s">
        <v>94</v>
      </c>
      <c r="AH1217" s="71" t="s">
        <v>101</v>
      </c>
      <c r="AI1217" s="72" t="s">
        <v>108</v>
      </c>
      <c r="AJ1217" s="71" t="s">
        <v>97</v>
      </c>
      <c r="AK1217" s="14" t="s">
        <v>98</v>
      </c>
    </row>
    <row r="1218" spans="33:37" x14ac:dyDescent="0.4">
      <c r="AG1218" s="71" t="s">
        <v>94</v>
      </c>
      <c r="AH1218" s="71" t="s">
        <v>101</v>
      </c>
      <c r="AI1218" s="72" t="s">
        <v>108</v>
      </c>
      <c r="AJ1218" s="71" t="s">
        <v>96</v>
      </c>
      <c r="AK1218" s="14" t="s">
        <v>98</v>
      </c>
    </row>
    <row r="1219" spans="33:37" x14ac:dyDescent="0.4">
      <c r="AG1219" s="71" t="s">
        <v>94</v>
      </c>
      <c r="AH1219" s="71" t="s">
        <v>101</v>
      </c>
      <c r="AI1219" s="72" t="s">
        <v>108</v>
      </c>
      <c r="AJ1219" s="71" t="s">
        <v>104</v>
      </c>
      <c r="AK1219" s="14" t="s">
        <v>98</v>
      </c>
    </row>
    <row r="1220" spans="33:37" x14ac:dyDescent="0.4">
      <c r="AG1220" s="71" t="s">
        <v>94</v>
      </c>
      <c r="AH1220" s="71" t="s">
        <v>101</v>
      </c>
      <c r="AI1220" s="72" t="s">
        <v>108</v>
      </c>
      <c r="AJ1220" s="71" t="s">
        <v>101</v>
      </c>
      <c r="AK1220" s="14" t="s">
        <v>98</v>
      </c>
    </row>
    <row r="1221" spans="33:37" x14ac:dyDescent="0.4">
      <c r="AG1221" s="71" t="s">
        <v>94</v>
      </c>
      <c r="AH1221" s="71" t="s">
        <v>101</v>
      </c>
      <c r="AI1221" s="72" t="s">
        <v>108</v>
      </c>
      <c r="AJ1221" s="72" t="s">
        <v>108</v>
      </c>
      <c r="AK1221" s="14" t="s">
        <v>129</v>
      </c>
    </row>
    <row r="1222" spans="33:37" x14ac:dyDescent="0.4">
      <c r="AG1222" s="71" t="s">
        <v>94</v>
      </c>
      <c r="AH1222" s="71" t="s">
        <v>101</v>
      </c>
      <c r="AI1222" s="72" t="s">
        <v>108</v>
      </c>
      <c r="AJ1222" s="71" t="s">
        <v>94</v>
      </c>
      <c r="AK1222" s="14" t="s">
        <v>129</v>
      </c>
    </row>
    <row r="1223" spans="33:37" x14ac:dyDescent="0.4">
      <c r="AG1223" s="71" t="s">
        <v>94</v>
      </c>
      <c r="AH1223" s="71" t="s">
        <v>101</v>
      </c>
      <c r="AI1223" s="71" t="s">
        <v>94</v>
      </c>
      <c r="AJ1223" s="71" t="s">
        <v>97</v>
      </c>
      <c r="AK1223" s="14" t="s">
        <v>98</v>
      </c>
    </row>
    <row r="1224" spans="33:37" x14ac:dyDescent="0.4">
      <c r="AG1224" s="71" t="s">
        <v>94</v>
      </c>
      <c r="AH1224" s="71" t="s">
        <v>101</v>
      </c>
      <c r="AI1224" s="71" t="s">
        <v>94</v>
      </c>
      <c r="AJ1224" s="71" t="s">
        <v>96</v>
      </c>
      <c r="AK1224" s="14" t="s">
        <v>98</v>
      </c>
    </row>
    <row r="1225" spans="33:37" x14ac:dyDescent="0.4">
      <c r="AG1225" s="71" t="s">
        <v>94</v>
      </c>
      <c r="AH1225" s="71" t="s">
        <v>101</v>
      </c>
      <c r="AI1225" s="71" t="s">
        <v>94</v>
      </c>
      <c r="AJ1225" s="71" t="s">
        <v>104</v>
      </c>
      <c r="AK1225" s="14" t="s">
        <v>98</v>
      </c>
    </row>
    <row r="1226" spans="33:37" x14ac:dyDescent="0.4">
      <c r="AG1226" s="71" t="s">
        <v>94</v>
      </c>
      <c r="AH1226" s="71" t="s">
        <v>101</v>
      </c>
      <c r="AI1226" s="71" t="s">
        <v>94</v>
      </c>
      <c r="AJ1226" s="71" t="s">
        <v>101</v>
      </c>
      <c r="AK1226" s="14" t="s">
        <v>98</v>
      </c>
    </row>
    <row r="1227" spans="33:37" x14ac:dyDescent="0.4">
      <c r="AG1227" s="71" t="s">
        <v>94</v>
      </c>
      <c r="AH1227" s="71" t="s">
        <v>101</v>
      </c>
      <c r="AI1227" s="71" t="s">
        <v>94</v>
      </c>
      <c r="AJ1227" s="72" t="s">
        <v>108</v>
      </c>
      <c r="AK1227" s="14" t="s">
        <v>129</v>
      </c>
    </row>
    <row r="1228" spans="33:37" x14ac:dyDescent="0.4">
      <c r="AG1228" s="71" t="s">
        <v>94</v>
      </c>
      <c r="AH1228" s="71" t="s">
        <v>101</v>
      </c>
      <c r="AI1228" s="71" t="s">
        <v>94</v>
      </c>
      <c r="AJ1228" s="71" t="s">
        <v>94</v>
      </c>
      <c r="AK1228" s="14" t="s">
        <v>129</v>
      </c>
    </row>
    <row r="1229" spans="33:37" x14ac:dyDescent="0.4">
      <c r="AG1229" s="71" t="s">
        <v>94</v>
      </c>
      <c r="AH1229" s="72" t="s">
        <v>108</v>
      </c>
      <c r="AI1229" s="71" t="s">
        <v>97</v>
      </c>
      <c r="AJ1229" s="71" t="s">
        <v>97</v>
      </c>
      <c r="AK1229" s="14" t="s">
        <v>98</v>
      </c>
    </row>
    <row r="1230" spans="33:37" x14ac:dyDescent="0.4">
      <c r="AG1230" s="71" t="s">
        <v>94</v>
      </c>
      <c r="AH1230" s="72" t="s">
        <v>108</v>
      </c>
      <c r="AI1230" s="71" t="s">
        <v>97</v>
      </c>
      <c r="AJ1230" s="71" t="s">
        <v>96</v>
      </c>
      <c r="AK1230" s="14" t="s">
        <v>98</v>
      </c>
    </row>
    <row r="1231" spans="33:37" x14ac:dyDescent="0.4">
      <c r="AG1231" s="71" t="s">
        <v>94</v>
      </c>
      <c r="AH1231" s="72" t="s">
        <v>108</v>
      </c>
      <c r="AI1231" s="71" t="s">
        <v>97</v>
      </c>
      <c r="AJ1231" s="71" t="s">
        <v>104</v>
      </c>
      <c r="AK1231" s="14" t="s">
        <v>98</v>
      </c>
    </row>
    <row r="1232" spans="33:37" x14ac:dyDescent="0.4">
      <c r="AG1232" s="71" t="s">
        <v>94</v>
      </c>
      <c r="AH1232" s="72" t="s">
        <v>108</v>
      </c>
      <c r="AI1232" s="71" t="s">
        <v>97</v>
      </c>
      <c r="AJ1232" s="71" t="s">
        <v>101</v>
      </c>
      <c r="AK1232" s="14" t="s">
        <v>98</v>
      </c>
    </row>
    <row r="1233" spans="33:37" x14ac:dyDescent="0.4">
      <c r="AG1233" s="71" t="s">
        <v>94</v>
      </c>
      <c r="AH1233" s="72" t="s">
        <v>108</v>
      </c>
      <c r="AI1233" s="71" t="s">
        <v>97</v>
      </c>
      <c r="AJ1233" s="72" t="s">
        <v>108</v>
      </c>
      <c r="AK1233" s="14" t="s">
        <v>98</v>
      </c>
    </row>
    <row r="1234" spans="33:37" x14ac:dyDescent="0.4">
      <c r="AG1234" s="71" t="s">
        <v>94</v>
      </c>
      <c r="AH1234" s="72" t="s">
        <v>108</v>
      </c>
      <c r="AI1234" s="71" t="s">
        <v>97</v>
      </c>
      <c r="AJ1234" s="71" t="s">
        <v>94</v>
      </c>
      <c r="AK1234" s="14" t="s">
        <v>98</v>
      </c>
    </row>
    <row r="1235" spans="33:37" x14ac:dyDescent="0.4">
      <c r="AG1235" s="71" t="s">
        <v>94</v>
      </c>
      <c r="AH1235" s="72" t="s">
        <v>108</v>
      </c>
      <c r="AI1235" s="71" t="s">
        <v>96</v>
      </c>
      <c r="AJ1235" s="71" t="s">
        <v>97</v>
      </c>
      <c r="AK1235" s="14" t="s">
        <v>98</v>
      </c>
    </row>
    <row r="1236" spans="33:37" x14ac:dyDescent="0.4">
      <c r="AG1236" s="71" t="s">
        <v>94</v>
      </c>
      <c r="AH1236" s="72" t="s">
        <v>108</v>
      </c>
      <c r="AI1236" s="71" t="s">
        <v>96</v>
      </c>
      <c r="AJ1236" s="71" t="s">
        <v>96</v>
      </c>
      <c r="AK1236" s="14" t="s">
        <v>98</v>
      </c>
    </row>
    <row r="1237" spans="33:37" x14ac:dyDescent="0.4">
      <c r="AG1237" s="71" t="s">
        <v>94</v>
      </c>
      <c r="AH1237" s="72" t="s">
        <v>108</v>
      </c>
      <c r="AI1237" s="71" t="s">
        <v>96</v>
      </c>
      <c r="AJ1237" s="71" t="s">
        <v>104</v>
      </c>
      <c r="AK1237" s="14" t="s">
        <v>98</v>
      </c>
    </row>
    <row r="1238" spans="33:37" x14ac:dyDescent="0.4">
      <c r="AG1238" s="71" t="s">
        <v>94</v>
      </c>
      <c r="AH1238" s="72" t="s">
        <v>108</v>
      </c>
      <c r="AI1238" s="71" t="s">
        <v>96</v>
      </c>
      <c r="AJ1238" s="71" t="s">
        <v>101</v>
      </c>
      <c r="AK1238" s="14" t="s">
        <v>98</v>
      </c>
    </row>
    <row r="1239" spans="33:37" x14ac:dyDescent="0.4">
      <c r="AG1239" s="71" t="s">
        <v>94</v>
      </c>
      <c r="AH1239" s="72" t="s">
        <v>108</v>
      </c>
      <c r="AI1239" s="71" t="s">
        <v>96</v>
      </c>
      <c r="AJ1239" s="72" t="s">
        <v>108</v>
      </c>
      <c r="AK1239" s="14" t="s">
        <v>98</v>
      </c>
    </row>
    <row r="1240" spans="33:37" x14ac:dyDescent="0.4">
      <c r="AG1240" s="71" t="s">
        <v>94</v>
      </c>
      <c r="AH1240" s="72" t="s">
        <v>108</v>
      </c>
      <c r="AI1240" s="71" t="s">
        <v>96</v>
      </c>
      <c r="AJ1240" s="71" t="s">
        <v>94</v>
      </c>
      <c r="AK1240" s="14" t="s">
        <v>98</v>
      </c>
    </row>
    <row r="1241" spans="33:37" x14ac:dyDescent="0.4">
      <c r="AG1241" s="71" t="s">
        <v>94</v>
      </c>
      <c r="AH1241" s="72" t="s">
        <v>108</v>
      </c>
      <c r="AI1241" s="71" t="s">
        <v>104</v>
      </c>
      <c r="AJ1241" s="71" t="s">
        <v>97</v>
      </c>
      <c r="AK1241" s="14" t="s">
        <v>98</v>
      </c>
    </row>
    <row r="1242" spans="33:37" x14ac:dyDescent="0.4">
      <c r="AG1242" s="71" t="s">
        <v>94</v>
      </c>
      <c r="AH1242" s="72" t="s">
        <v>108</v>
      </c>
      <c r="AI1242" s="71" t="s">
        <v>104</v>
      </c>
      <c r="AJ1242" s="71" t="s">
        <v>96</v>
      </c>
      <c r="AK1242" s="14" t="s">
        <v>98</v>
      </c>
    </row>
    <row r="1243" spans="33:37" x14ac:dyDescent="0.4">
      <c r="AG1243" s="71" t="s">
        <v>94</v>
      </c>
      <c r="AH1243" s="72" t="s">
        <v>108</v>
      </c>
      <c r="AI1243" s="71" t="s">
        <v>104</v>
      </c>
      <c r="AJ1243" s="71" t="s">
        <v>104</v>
      </c>
      <c r="AK1243" s="14" t="s">
        <v>98</v>
      </c>
    </row>
    <row r="1244" spans="33:37" x14ac:dyDescent="0.4">
      <c r="AG1244" s="71" t="s">
        <v>94</v>
      </c>
      <c r="AH1244" s="72" t="s">
        <v>108</v>
      </c>
      <c r="AI1244" s="71" t="s">
        <v>104</v>
      </c>
      <c r="AJ1244" s="71" t="s">
        <v>101</v>
      </c>
      <c r="AK1244" s="14" t="s">
        <v>98</v>
      </c>
    </row>
    <row r="1245" spans="33:37" x14ac:dyDescent="0.4">
      <c r="AG1245" s="71" t="s">
        <v>94</v>
      </c>
      <c r="AH1245" s="72" t="s">
        <v>108</v>
      </c>
      <c r="AI1245" s="71" t="s">
        <v>104</v>
      </c>
      <c r="AJ1245" s="72" t="s">
        <v>108</v>
      </c>
      <c r="AK1245" s="14" t="s">
        <v>98</v>
      </c>
    </row>
    <row r="1246" spans="33:37" x14ac:dyDescent="0.4">
      <c r="AG1246" s="71" t="s">
        <v>94</v>
      </c>
      <c r="AH1246" s="72" t="s">
        <v>108</v>
      </c>
      <c r="AI1246" s="71" t="s">
        <v>104</v>
      </c>
      <c r="AJ1246" s="71" t="s">
        <v>94</v>
      </c>
      <c r="AK1246" s="14" t="s">
        <v>98</v>
      </c>
    </row>
    <row r="1247" spans="33:37" x14ac:dyDescent="0.4">
      <c r="AG1247" s="71" t="s">
        <v>94</v>
      </c>
      <c r="AH1247" s="72" t="s">
        <v>108</v>
      </c>
      <c r="AI1247" s="71" t="s">
        <v>101</v>
      </c>
      <c r="AJ1247" s="71" t="s">
        <v>97</v>
      </c>
      <c r="AK1247" s="14" t="s">
        <v>98</v>
      </c>
    </row>
    <row r="1248" spans="33:37" x14ac:dyDescent="0.4">
      <c r="AG1248" s="71" t="s">
        <v>94</v>
      </c>
      <c r="AH1248" s="72" t="s">
        <v>108</v>
      </c>
      <c r="AI1248" s="71" t="s">
        <v>101</v>
      </c>
      <c r="AJ1248" s="71" t="s">
        <v>96</v>
      </c>
      <c r="AK1248" s="14" t="s">
        <v>98</v>
      </c>
    </row>
    <row r="1249" spans="33:37" x14ac:dyDescent="0.4">
      <c r="AG1249" s="71" t="s">
        <v>94</v>
      </c>
      <c r="AH1249" s="72" t="s">
        <v>108</v>
      </c>
      <c r="AI1249" s="71" t="s">
        <v>101</v>
      </c>
      <c r="AJ1249" s="71" t="s">
        <v>104</v>
      </c>
      <c r="AK1249" s="14" t="s">
        <v>98</v>
      </c>
    </row>
    <row r="1250" spans="33:37" x14ac:dyDescent="0.4">
      <c r="AG1250" s="71" t="s">
        <v>94</v>
      </c>
      <c r="AH1250" s="72" t="s">
        <v>108</v>
      </c>
      <c r="AI1250" s="71" t="s">
        <v>101</v>
      </c>
      <c r="AJ1250" s="71" t="s">
        <v>101</v>
      </c>
      <c r="AK1250" s="14" t="s">
        <v>98</v>
      </c>
    </row>
    <row r="1251" spans="33:37" x14ac:dyDescent="0.4">
      <c r="AG1251" s="71" t="s">
        <v>94</v>
      </c>
      <c r="AH1251" s="72" t="s">
        <v>108</v>
      </c>
      <c r="AI1251" s="71" t="s">
        <v>101</v>
      </c>
      <c r="AJ1251" s="72" t="s">
        <v>108</v>
      </c>
      <c r="AK1251" s="14" t="s">
        <v>129</v>
      </c>
    </row>
    <row r="1252" spans="33:37" x14ac:dyDescent="0.4">
      <c r="AG1252" s="71" t="s">
        <v>94</v>
      </c>
      <c r="AH1252" s="72" t="s">
        <v>108</v>
      </c>
      <c r="AI1252" s="71" t="s">
        <v>101</v>
      </c>
      <c r="AJ1252" s="71" t="s">
        <v>94</v>
      </c>
      <c r="AK1252" s="14" t="s">
        <v>129</v>
      </c>
    </row>
    <row r="1253" spans="33:37" x14ac:dyDescent="0.4">
      <c r="AG1253" s="71" t="s">
        <v>94</v>
      </c>
      <c r="AH1253" s="72" t="s">
        <v>108</v>
      </c>
      <c r="AI1253" s="72" t="s">
        <v>108</v>
      </c>
      <c r="AJ1253" s="71" t="s">
        <v>97</v>
      </c>
      <c r="AK1253" s="14" t="s">
        <v>98</v>
      </c>
    </row>
    <row r="1254" spans="33:37" x14ac:dyDescent="0.4">
      <c r="AG1254" s="71" t="s">
        <v>94</v>
      </c>
      <c r="AH1254" s="72" t="s">
        <v>108</v>
      </c>
      <c r="AI1254" s="72" t="s">
        <v>108</v>
      </c>
      <c r="AJ1254" s="71" t="s">
        <v>96</v>
      </c>
      <c r="AK1254" s="14" t="s">
        <v>98</v>
      </c>
    </row>
    <row r="1255" spans="33:37" x14ac:dyDescent="0.4">
      <c r="AG1255" s="71" t="s">
        <v>94</v>
      </c>
      <c r="AH1255" s="72" t="s">
        <v>108</v>
      </c>
      <c r="AI1255" s="72" t="s">
        <v>108</v>
      </c>
      <c r="AJ1255" s="71" t="s">
        <v>104</v>
      </c>
      <c r="AK1255" s="14" t="s">
        <v>98</v>
      </c>
    </row>
    <row r="1256" spans="33:37" x14ac:dyDescent="0.4">
      <c r="AG1256" s="71" t="s">
        <v>94</v>
      </c>
      <c r="AH1256" s="72" t="s">
        <v>108</v>
      </c>
      <c r="AI1256" s="72" t="s">
        <v>108</v>
      </c>
      <c r="AJ1256" s="71" t="s">
        <v>101</v>
      </c>
      <c r="AK1256" s="14" t="s">
        <v>98</v>
      </c>
    </row>
    <row r="1257" spans="33:37" x14ac:dyDescent="0.4">
      <c r="AG1257" s="71" t="s">
        <v>94</v>
      </c>
      <c r="AH1257" s="72" t="s">
        <v>108</v>
      </c>
      <c r="AI1257" s="72" t="s">
        <v>108</v>
      </c>
      <c r="AJ1257" s="72" t="s">
        <v>108</v>
      </c>
      <c r="AK1257" s="14" t="s">
        <v>129</v>
      </c>
    </row>
    <row r="1258" spans="33:37" x14ac:dyDescent="0.4">
      <c r="AG1258" s="71" t="s">
        <v>94</v>
      </c>
      <c r="AH1258" s="72" t="s">
        <v>108</v>
      </c>
      <c r="AI1258" s="72" t="s">
        <v>108</v>
      </c>
      <c r="AJ1258" s="71" t="s">
        <v>94</v>
      </c>
      <c r="AK1258" s="14" t="s">
        <v>129</v>
      </c>
    </row>
    <row r="1259" spans="33:37" x14ac:dyDescent="0.4">
      <c r="AG1259" s="71" t="s">
        <v>94</v>
      </c>
      <c r="AH1259" s="72" t="s">
        <v>108</v>
      </c>
      <c r="AI1259" s="71" t="s">
        <v>94</v>
      </c>
      <c r="AJ1259" s="71" t="s">
        <v>97</v>
      </c>
      <c r="AK1259" s="14" t="s">
        <v>98</v>
      </c>
    </row>
    <row r="1260" spans="33:37" x14ac:dyDescent="0.4">
      <c r="AG1260" s="71" t="s">
        <v>94</v>
      </c>
      <c r="AH1260" s="72" t="s">
        <v>108</v>
      </c>
      <c r="AI1260" s="71" t="s">
        <v>94</v>
      </c>
      <c r="AJ1260" s="71" t="s">
        <v>96</v>
      </c>
      <c r="AK1260" s="14" t="s">
        <v>98</v>
      </c>
    </row>
    <row r="1261" spans="33:37" x14ac:dyDescent="0.4">
      <c r="AG1261" s="71" t="s">
        <v>94</v>
      </c>
      <c r="AH1261" s="72" t="s">
        <v>108</v>
      </c>
      <c r="AI1261" s="71" t="s">
        <v>94</v>
      </c>
      <c r="AJ1261" s="71" t="s">
        <v>104</v>
      </c>
      <c r="AK1261" s="14" t="s">
        <v>98</v>
      </c>
    </row>
    <row r="1262" spans="33:37" x14ac:dyDescent="0.4">
      <c r="AG1262" s="71" t="s">
        <v>94</v>
      </c>
      <c r="AH1262" s="72" t="s">
        <v>108</v>
      </c>
      <c r="AI1262" s="71" t="s">
        <v>94</v>
      </c>
      <c r="AJ1262" s="71" t="s">
        <v>101</v>
      </c>
      <c r="AK1262" s="14" t="s">
        <v>98</v>
      </c>
    </row>
    <row r="1263" spans="33:37" x14ac:dyDescent="0.4">
      <c r="AG1263" s="71" t="s">
        <v>94</v>
      </c>
      <c r="AH1263" s="72" t="s">
        <v>108</v>
      </c>
      <c r="AI1263" s="71" t="s">
        <v>94</v>
      </c>
      <c r="AJ1263" s="72" t="s">
        <v>108</v>
      </c>
      <c r="AK1263" s="14" t="s">
        <v>129</v>
      </c>
    </row>
    <row r="1264" spans="33:37" x14ac:dyDescent="0.4">
      <c r="AG1264" s="71" t="s">
        <v>94</v>
      </c>
      <c r="AH1264" s="72" t="s">
        <v>108</v>
      </c>
      <c r="AI1264" s="71" t="s">
        <v>94</v>
      </c>
      <c r="AJ1264" s="71" t="s">
        <v>94</v>
      </c>
      <c r="AK1264" s="14" t="s">
        <v>129</v>
      </c>
    </row>
    <row r="1265" spans="33:37" x14ac:dyDescent="0.4">
      <c r="AG1265" s="71" t="s">
        <v>94</v>
      </c>
      <c r="AH1265" s="71" t="s">
        <v>94</v>
      </c>
      <c r="AI1265" s="71" t="s">
        <v>97</v>
      </c>
      <c r="AJ1265" s="71" t="s">
        <v>97</v>
      </c>
      <c r="AK1265" s="14" t="s">
        <v>98</v>
      </c>
    </row>
    <row r="1266" spans="33:37" x14ac:dyDescent="0.4">
      <c r="AG1266" s="71" t="s">
        <v>94</v>
      </c>
      <c r="AH1266" s="71" t="s">
        <v>94</v>
      </c>
      <c r="AI1266" s="71" t="s">
        <v>97</v>
      </c>
      <c r="AJ1266" s="71" t="s">
        <v>96</v>
      </c>
      <c r="AK1266" s="14" t="s">
        <v>98</v>
      </c>
    </row>
    <row r="1267" spans="33:37" x14ac:dyDescent="0.4">
      <c r="AG1267" s="71" t="s">
        <v>94</v>
      </c>
      <c r="AH1267" s="71" t="s">
        <v>94</v>
      </c>
      <c r="AI1267" s="71" t="s">
        <v>97</v>
      </c>
      <c r="AJ1267" s="71" t="s">
        <v>104</v>
      </c>
      <c r="AK1267" s="14" t="s">
        <v>98</v>
      </c>
    </row>
    <row r="1268" spans="33:37" x14ac:dyDescent="0.4">
      <c r="AG1268" s="71" t="s">
        <v>94</v>
      </c>
      <c r="AH1268" s="71" t="s">
        <v>94</v>
      </c>
      <c r="AI1268" s="71" t="s">
        <v>97</v>
      </c>
      <c r="AJ1268" s="71" t="s">
        <v>101</v>
      </c>
      <c r="AK1268" s="14" t="s">
        <v>98</v>
      </c>
    </row>
    <row r="1269" spans="33:37" x14ac:dyDescent="0.4">
      <c r="AG1269" s="71" t="s">
        <v>94</v>
      </c>
      <c r="AH1269" s="71" t="s">
        <v>94</v>
      </c>
      <c r="AI1269" s="71" t="s">
        <v>97</v>
      </c>
      <c r="AJ1269" s="72" t="s">
        <v>108</v>
      </c>
      <c r="AK1269" s="14" t="s">
        <v>98</v>
      </c>
    </row>
    <row r="1270" spans="33:37" x14ac:dyDescent="0.4">
      <c r="AG1270" s="71" t="s">
        <v>94</v>
      </c>
      <c r="AH1270" s="71" t="s">
        <v>94</v>
      </c>
      <c r="AI1270" s="71" t="s">
        <v>97</v>
      </c>
      <c r="AJ1270" s="71" t="s">
        <v>94</v>
      </c>
      <c r="AK1270" s="14" t="s">
        <v>98</v>
      </c>
    </row>
    <row r="1271" spans="33:37" x14ac:dyDescent="0.4">
      <c r="AG1271" s="71" t="s">
        <v>94</v>
      </c>
      <c r="AH1271" s="71" t="s">
        <v>94</v>
      </c>
      <c r="AI1271" s="71" t="s">
        <v>96</v>
      </c>
      <c r="AJ1271" s="71" t="s">
        <v>97</v>
      </c>
      <c r="AK1271" s="14" t="s">
        <v>98</v>
      </c>
    </row>
    <row r="1272" spans="33:37" x14ac:dyDescent="0.4">
      <c r="AG1272" s="71" t="s">
        <v>94</v>
      </c>
      <c r="AH1272" s="71" t="s">
        <v>94</v>
      </c>
      <c r="AI1272" s="71" t="s">
        <v>96</v>
      </c>
      <c r="AJ1272" s="71" t="s">
        <v>96</v>
      </c>
      <c r="AK1272" s="14" t="s">
        <v>98</v>
      </c>
    </row>
    <row r="1273" spans="33:37" x14ac:dyDescent="0.4">
      <c r="AG1273" s="71" t="s">
        <v>94</v>
      </c>
      <c r="AH1273" s="71" t="s">
        <v>94</v>
      </c>
      <c r="AI1273" s="71" t="s">
        <v>96</v>
      </c>
      <c r="AJ1273" s="71" t="s">
        <v>104</v>
      </c>
      <c r="AK1273" s="14" t="s">
        <v>98</v>
      </c>
    </row>
    <row r="1274" spans="33:37" x14ac:dyDescent="0.4">
      <c r="AG1274" s="71" t="s">
        <v>94</v>
      </c>
      <c r="AH1274" s="71" t="s">
        <v>94</v>
      </c>
      <c r="AI1274" s="71" t="s">
        <v>96</v>
      </c>
      <c r="AJ1274" s="71" t="s">
        <v>101</v>
      </c>
      <c r="AK1274" s="14" t="s">
        <v>98</v>
      </c>
    </row>
    <row r="1275" spans="33:37" x14ac:dyDescent="0.4">
      <c r="AG1275" s="71" t="s">
        <v>94</v>
      </c>
      <c r="AH1275" s="71" t="s">
        <v>94</v>
      </c>
      <c r="AI1275" s="71" t="s">
        <v>96</v>
      </c>
      <c r="AJ1275" s="72" t="s">
        <v>108</v>
      </c>
      <c r="AK1275" s="14" t="s">
        <v>98</v>
      </c>
    </row>
    <row r="1276" spans="33:37" x14ac:dyDescent="0.4">
      <c r="AG1276" s="71" t="s">
        <v>94</v>
      </c>
      <c r="AH1276" s="71" t="s">
        <v>94</v>
      </c>
      <c r="AI1276" s="71" t="s">
        <v>96</v>
      </c>
      <c r="AJ1276" s="71" t="s">
        <v>94</v>
      </c>
      <c r="AK1276" s="14" t="s">
        <v>98</v>
      </c>
    </row>
    <row r="1277" spans="33:37" x14ac:dyDescent="0.4">
      <c r="AG1277" s="71" t="s">
        <v>94</v>
      </c>
      <c r="AH1277" s="71" t="s">
        <v>94</v>
      </c>
      <c r="AI1277" s="71" t="s">
        <v>104</v>
      </c>
      <c r="AJ1277" s="71" t="s">
        <v>97</v>
      </c>
      <c r="AK1277" s="14" t="s">
        <v>98</v>
      </c>
    </row>
    <row r="1278" spans="33:37" x14ac:dyDescent="0.4">
      <c r="AG1278" s="71" t="s">
        <v>94</v>
      </c>
      <c r="AH1278" s="71" t="s">
        <v>94</v>
      </c>
      <c r="AI1278" s="71" t="s">
        <v>104</v>
      </c>
      <c r="AJ1278" s="71" t="s">
        <v>96</v>
      </c>
      <c r="AK1278" s="14" t="s">
        <v>98</v>
      </c>
    </row>
    <row r="1279" spans="33:37" x14ac:dyDescent="0.4">
      <c r="AG1279" s="71" t="s">
        <v>94</v>
      </c>
      <c r="AH1279" s="71" t="s">
        <v>94</v>
      </c>
      <c r="AI1279" s="71" t="s">
        <v>104</v>
      </c>
      <c r="AJ1279" s="71" t="s">
        <v>104</v>
      </c>
      <c r="AK1279" s="14" t="s">
        <v>98</v>
      </c>
    </row>
    <row r="1280" spans="33:37" x14ac:dyDescent="0.4">
      <c r="AG1280" s="71" t="s">
        <v>94</v>
      </c>
      <c r="AH1280" s="71" t="s">
        <v>94</v>
      </c>
      <c r="AI1280" s="71" t="s">
        <v>104</v>
      </c>
      <c r="AJ1280" s="71" t="s">
        <v>101</v>
      </c>
      <c r="AK1280" s="14" t="s">
        <v>98</v>
      </c>
    </row>
    <row r="1281" spans="33:37" x14ac:dyDescent="0.4">
      <c r="AG1281" s="71" t="s">
        <v>94</v>
      </c>
      <c r="AH1281" s="71" t="s">
        <v>94</v>
      </c>
      <c r="AI1281" s="71" t="s">
        <v>104</v>
      </c>
      <c r="AJ1281" s="72" t="s">
        <v>108</v>
      </c>
      <c r="AK1281" s="14" t="s">
        <v>98</v>
      </c>
    </row>
    <row r="1282" spans="33:37" x14ac:dyDescent="0.4">
      <c r="AG1282" s="71" t="s">
        <v>94</v>
      </c>
      <c r="AH1282" s="71" t="s">
        <v>94</v>
      </c>
      <c r="AI1282" s="71" t="s">
        <v>104</v>
      </c>
      <c r="AJ1282" s="71" t="s">
        <v>94</v>
      </c>
      <c r="AK1282" s="14" t="s">
        <v>98</v>
      </c>
    </row>
    <row r="1283" spans="33:37" x14ac:dyDescent="0.4">
      <c r="AG1283" s="71" t="s">
        <v>94</v>
      </c>
      <c r="AH1283" s="71" t="s">
        <v>94</v>
      </c>
      <c r="AI1283" s="71" t="s">
        <v>101</v>
      </c>
      <c r="AJ1283" s="71" t="s">
        <v>97</v>
      </c>
      <c r="AK1283" s="14" t="s">
        <v>98</v>
      </c>
    </row>
    <row r="1284" spans="33:37" x14ac:dyDescent="0.4">
      <c r="AG1284" s="71" t="s">
        <v>94</v>
      </c>
      <c r="AH1284" s="71" t="s">
        <v>94</v>
      </c>
      <c r="AI1284" s="71" t="s">
        <v>101</v>
      </c>
      <c r="AJ1284" s="71" t="s">
        <v>96</v>
      </c>
      <c r="AK1284" s="14" t="s">
        <v>98</v>
      </c>
    </row>
    <row r="1285" spans="33:37" x14ac:dyDescent="0.4">
      <c r="AG1285" s="71" t="s">
        <v>94</v>
      </c>
      <c r="AH1285" s="71" t="s">
        <v>94</v>
      </c>
      <c r="AI1285" s="71" t="s">
        <v>101</v>
      </c>
      <c r="AJ1285" s="71" t="s">
        <v>104</v>
      </c>
      <c r="AK1285" s="14" t="s">
        <v>98</v>
      </c>
    </row>
    <row r="1286" spans="33:37" x14ac:dyDescent="0.4">
      <c r="AG1286" s="71" t="s">
        <v>94</v>
      </c>
      <c r="AH1286" s="71" t="s">
        <v>94</v>
      </c>
      <c r="AI1286" s="71" t="s">
        <v>101</v>
      </c>
      <c r="AJ1286" s="71" t="s">
        <v>101</v>
      </c>
      <c r="AK1286" s="14" t="s">
        <v>98</v>
      </c>
    </row>
    <row r="1287" spans="33:37" x14ac:dyDescent="0.4">
      <c r="AG1287" s="71" t="s">
        <v>94</v>
      </c>
      <c r="AH1287" s="71" t="s">
        <v>94</v>
      </c>
      <c r="AI1287" s="71" t="s">
        <v>101</v>
      </c>
      <c r="AJ1287" s="72" t="s">
        <v>108</v>
      </c>
      <c r="AK1287" s="14" t="s">
        <v>129</v>
      </c>
    </row>
    <row r="1288" spans="33:37" x14ac:dyDescent="0.4">
      <c r="AG1288" s="71" t="s">
        <v>94</v>
      </c>
      <c r="AH1288" s="71" t="s">
        <v>94</v>
      </c>
      <c r="AI1288" s="71" t="s">
        <v>101</v>
      </c>
      <c r="AJ1288" s="71" t="s">
        <v>94</v>
      </c>
      <c r="AK1288" s="14" t="s">
        <v>129</v>
      </c>
    </row>
    <row r="1289" spans="33:37" x14ac:dyDescent="0.4">
      <c r="AG1289" s="71" t="s">
        <v>94</v>
      </c>
      <c r="AH1289" s="71" t="s">
        <v>94</v>
      </c>
      <c r="AI1289" s="72" t="s">
        <v>108</v>
      </c>
      <c r="AJ1289" s="71" t="s">
        <v>97</v>
      </c>
      <c r="AK1289" s="14" t="s">
        <v>98</v>
      </c>
    </row>
    <row r="1290" spans="33:37" x14ac:dyDescent="0.4">
      <c r="AG1290" s="71" t="s">
        <v>94</v>
      </c>
      <c r="AH1290" s="71" t="s">
        <v>94</v>
      </c>
      <c r="AI1290" s="72" t="s">
        <v>108</v>
      </c>
      <c r="AJ1290" s="71" t="s">
        <v>96</v>
      </c>
      <c r="AK1290" s="14" t="s">
        <v>98</v>
      </c>
    </row>
    <row r="1291" spans="33:37" x14ac:dyDescent="0.4">
      <c r="AG1291" s="71" t="s">
        <v>94</v>
      </c>
      <c r="AH1291" s="71" t="s">
        <v>94</v>
      </c>
      <c r="AI1291" s="72" t="s">
        <v>108</v>
      </c>
      <c r="AJ1291" s="71" t="s">
        <v>104</v>
      </c>
      <c r="AK1291" s="14" t="s">
        <v>98</v>
      </c>
    </row>
    <row r="1292" spans="33:37" x14ac:dyDescent="0.4">
      <c r="AG1292" s="71" t="s">
        <v>94</v>
      </c>
      <c r="AH1292" s="71" t="s">
        <v>94</v>
      </c>
      <c r="AI1292" s="72" t="s">
        <v>108</v>
      </c>
      <c r="AJ1292" s="71" t="s">
        <v>101</v>
      </c>
      <c r="AK1292" s="14" t="s">
        <v>98</v>
      </c>
    </row>
    <row r="1293" spans="33:37" x14ac:dyDescent="0.4">
      <c r="AG1293" s="71" t="s">
        <v>94</v>
      </c>
      <c r="AH1293" s="71" t="s">
        <v>94</v>
      </c>
      <c r="AI1293" s="72" t="s">
        <v>108</v>
      </c>
      <c r="AJ1293" s="72" t="s">
        <v>108</v>
      </c>
      <c r="AK1293" s="14" t="s">
        <v>129</v>
      </c>
    </row>
    <row r="1294" spans="33:37" x14ac:dyDescent="0.4">
      <c r="AG1294" s="71" t="s">
        <v>94</v>
      </c>
      <c r="AH1294" s="71" t="s">
        <v>94</v>
      </c>
      <c r="AI1294" s="72" t="s">
        <v>108</v>
      </c>
      <c r="AJ1294" s="71" t="s">
        <v>94</v>
      </c>
      <c r="AK1294" s="14" t="s">
        <v>129</v>
      </c>
    </row>
    <row r="1295" spans="33:37" x14ac:dyDescent="0.4">
      <c r="AG1295" s="71" t="s">
        <v>94</v>
      </c>
      <c r="AH1295" s="71" t="s">
        <v>94</v>
      </c>
      <c r="AI1295" s="71" t="s">
        <v>94</v>
      </c>
      <c r="AJ1295" s="71" t="s">
        <v>97</v>
      </c>
      <c r="AK1295" s="14" t="s">
        <v>98</v>
      </c>
    </row>
    <row r="1296" spans="33:37" x14ac:dyDescent="0.4">
      <c r="AG1296" s="71" t="s">
        <v>94</v>
      </c>
      <c r="AH1296" s="71" t="s">
        <v>94</v>
      </c>
      <c r="AI1296" s="71" t="s">
        <v>94</v>
      </c>
      <c r="AJ1296" s="71" t="s">
        <v>96</v>
      </c>
      <c r="AK1296" s="14" t="s">
        <v>98</v>
      </c>
    </row>
    <row r="1297" spans="33:37" x14ac:dyDescent="0.4">
      <c r="AG1297" s="71" t="s">
        <v>94</v>
      </c>
      <c r="AH1297" s="71" t="s">
        <v>94</v>
      </c>
      <c r="AI1297" s="71" t="s">
        <v>94</v>
      </c>
      <c r="AJ1297" s="71" t="s">
        <v>104</v>
      </c>
      <c r="AK1297" s="14" t="s">
        <v>98</v>
      </c>
    </row>
    <row r="1298" spans="33:37" x14ac:dyDescent="0.4">
      <c r="AG1298" s="71" t="s">
        <v>94</v>
      </c>
      <c r="AH1298" s="71" t="s">
        <v>94</v>
      </c>
      <c r="AI1298" s="71" t="s">
        <v>94</v>
      </c>
      <c r="AJ1298" s="71" t="s">
        <v>101</v>
      </c>
      <c r="AK1298" s="14" t="s">
        <v>98</v>
      </c>
    </row>
    <row r="1299" spans="33:37" x14ac:dyDescent="0.4">
      <c r="AG1299" s="71" t="s">
        <v>94</v>
      </c>
      <c r="AH1299" s="71" t="s">
        <v>94</v>
      </c>
      <c r="AI1299" s="71" t="s">
        <v>94</v>
      </c>
      <c r="AJ1299" s="72" t="s">
        <v>108</v>
      </c>
      <c r="AK1299" s="14" t="s">
        <v>129</v>
      </c>
    </row>
    <row r="1300" spans="33:37" x14ac:dyDescent="0.4">
      <c r="AG1300" s="71" t="s">
        <v>94</v>
      </c>
      <c r="AH1300" s="71" t="s">
        <v>94</v>
      </c>
      <c r="AI1300" s="71" t="s">
        <v>94</v>
      </c>
      <c r="AJ1300" s="71" t="s">
        <v>94</v>
      </c>
      <c r="AK1300" s="14" t="s">
        <v>129</v>
      </c>
    </row>
  </sheetData>
  <sheetProtection algorithmName="SHA-512" hashValue="Egey47vSEmAGeS4lN2V1tFssIsF6ShsHwCOcPzZd2YVo5PpI9502zEZ91T8Gvkr2kJ0pV7MYJeHeiv5Fi7JkhA==" saltValue="ctHzL+3CgWCm1MKqKhbagQ==" spinCount="100000" sheet="1" objects="1" scenarios="1"/>
  <phoneticPr fontId="6" type="noConversion"/>
  <dataValidations count="2">
    <dataValidation type="date" allowBlank="1" showInputMessage="1" showErrorMessage="1" sqref="D17:D40 D5:D12" xr:uid="{5281386F-60F1-4CEE-ABA5-EF4D08D89FB9}">
      <formula1>43831</formula1>
      <formula2>73051</formula2>
    </dataValidation>
    <dataValidation type="decimal" allowBlank="1" showInputMessage="1" showErrorMessage="1" sqref="I5:J12 I17:J40" xr:uid="{9D668839-83F0-442D-8FE5-600EED19728F}">
      <formula1>-100000</formula1>
      <formula2>100000</formula2>
    </dataValidation>
  </dataValidations>
  <pageMargins left="0.7" right="0.7" top="0.75" bottom="0.75" header="0.3" footer="0.3"/>
  <ignoredErrors>
    <ignoredError sqref="H17:H40 H9:H12" unlockedFormula="1"/>
    <ignoredError sqref="F45:F52 E57:E60 C18:C40" calculatedColumn="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30CAED80-EF7C-4640-B825-5F6F744989FB}">
          <x14:formula1>
            <xm:f>'Dropdown tables - Production'!$Y$2:$Y$4</xm:f>
          </x14:formula1>
          <xm:sqref>E5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54465-B6CA-43DD-890C-59CD5241F839}">
  <sheetPr codeName="Sheet24">
    <tabColor theme="9" tint="0.59999389629810485"/>
  </sheetPr>
  <dimension ref="C1:AP62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17.5546875" style="14" customWidth="1"/>
    <col min="5" max="5" width="28.21875" style="14" customWidth="1"/>
    <col min="6" max="6" width="24.77734375" style="14" customWidth="1"/>
    <col min="7" max="7" width="23" style="14" bestFit="1" customWidth="1"/>
    <col min="8" max="8" width="23.5546875" style="14" customWidth="1"/>
    <col min="9" max="9" width="14.5546875" style="14" customWidth="1"/>
    <col min="10" max="10" width="15" style="14" customWidth="1"/>
    <col min="11" max="11" width="17.21875" style="14" customWidth="1"/>
    <col min="12" max="27" width="9" style="14" customWidth="1"/>
    <col min="28" max="38" width="9" style="14" hidden="1" customWidth="1"/>
    <col min="39" max="39" width="9" style="14"/>
    <col min="40" max="41" width="9" style="14" customWidth="1"/>
    <col min="42" max="16384" width="9" style="14"/>
  </cols>
  <sheetData>
    <row r="1" spans="3:42" x14ac:dyDescent="0.4">
      <c r="W1" s="19"/>
      <c r="X1" s="19"/>
      <c r="Y1" s="19"/>
      <c r="Z1" s="19"/>
      <c r="AA1" s="19"/>
      <c r="AB1" s="19"/>
      <c r="AC1" s="19"/>
    </row>
    <row r="2" spans="3:42" x14ac:dyDescent="0.4">
      <c r="D2" s="17" t="s">
        <v>1909</v>
      </c>
      <c r="AB2" s="17" t="s">
        <v>130</v>
      </c>
      <c r="AF2" s="17" t="s">
        <v>72</v>
      </c>
    </row>
    <row r="3" spans="3:42" hidden="1" x14ac:dyDescent="0.4">
      <c r="C3" s="14">
        <v>5.0999999999999996</v>
      </c>
      <c r="D3" s="14">
        <v>5.2</v>
      </c>
      <c r="E3" s="14">
        <v>5.3</v>
      </c>
      <c r="F3" s="14">
        <v>5.4</v>
      </c>
      <c r="G3" s="14">
        <v>5.5</v>
      </c>
      <c r="H3" s="14">
        <v>5.6</v>
      </c>
      <c r="I3" s="14">
        <v>5.7</v>
      </c>
      <c r="J3" s="14">
        <v>5.8</v>
      </c>
      <c r="K3" s="14">
        <v>5.9</v>
      </c>
      <c r="AI3" s="19"/>
    </row>
    <row r="4" spans="3:42" s="16" customFormat="1" ht="44.25" customHeight="1" thickBot="1" x14ac:dyDescent="0.45">
      <c r="C4" s="58" t="s">
        <v>40</v>
      </c>
      <c r="D4" s="57" t="s">
        <v>131</v>
      </c>
      <c r="E4" s="57" t="s">
        <v>132</v>
      </c>
      <c r="F4" s="60" t="s">
        <v>75</v>
      </c>
      <c r="G4" s="58" t="s">
        <v>76</v>
      </c>
      <c r="H4" s="60" t="s">
        <v>77</v>
      </c>
      <c r="I4" s="60" t="s">
        <v>78</v>
      </c>
      <c r="J4" s="60" t="s">
        <v>79</v>
      </c>
      <c r="K4" s="59" t="s">
        <v>52</v>
      </c>
      <c r="L4" s="23"/>
      <c r="S4" s="23"/>
      <c r="AB4" s="16" t="s">
        <v>133</v>
      </c>
      <c r="AC4" s="16" t="s">
        <v>134</v>
      </c>
      <c r="AD4" s="16" t="s">
        <v>135</v>
      </c>
      <c r="AE4" s="16" t="s">
        <v>83</v>
      </c>
      <c r="AF4" s="16" t="s">
        <v>52</v>
      </c>
      <c r="AH4" s="128" t="s">
        <v>84</v>
      </c>
      <c r="AI4" s="16" t="s">
        <v>85</v>
      </c>
      <c r="AJ4" s="16" t="s">
        <v>86</v>
      </c>
      <c r="AK4" s="16" t="s">
        <v>87</v>
      </c>
      <c r="AL4" s="129" t="s">
        <v>88</v>
      </c>
    </row>
    <row r="5" spans="3:42" ht="17.399999999999999" thickTop="1" x14ac:dyDescent="0.4">
      <c r="C5" s="55" t="str">
        <f>IF('Site and production details'!C5= 0, "", 'Site and production details'!C5)</f>
        <v/>
      </c>
      <c r="D5" s="151"/>
      <c r="E5" s="188" t="s">
        <v>89</v>
      </c>
      <c r="F5" s="206" t="s">
        <v>90</v>
      </c>
      <c r="G5" s="115" t="s">
        <v>91</v>
      </c>
      <c r="H5" s="250" t="s">
        <v>92</v>
      </c>
      <c r="I5" s="206"/>
      <c r="J5" s="206"/>
      <c r="K5" s="168"/>
      <c r="AB5" s="14" t="s">
        <v>136</v>
      </c>
      <c r="AC5" s="20">
        <v>80.000010000000003</v>
      </c>
      <c r="AD5" s="20">
        <v>10000000</v>
      </c>
      <c r="AE5" s="14" t="s">
        <v>94</v>
      </c>
      <c r="AF5" s="14" t="s">
        <v>137</v>
      </c>
      <c r="AH5" s="14" t="s">
        <v>96</v>
      </c>
      <c r="AI5" s="14" t="s">
        <v>97</v>
      </c>
      <c r="AJ5" s="14" t="s">
        <v>97</v>
      </c>
      <c r="AK5" s="14" t="s">
        <v>97</v>
      </c>
      <c r="AL5" s="14" t="s">
        <v>98</v>
      </c>
    </row>
    <row r="6" spans="3:42" x14ac:dyDescent="0.4">
      <c r="C6" s="55" t="str">
        <f>C5</f>
        <v/>
      </c>
      <c r="D6" s="151"/>
      <c r="E6" s="116" t="str">
        <f>IF(E5 = "Select", "", E5)</f>
        <v/>
      </c>
      <c r="F6" s="29" t="s">
        <v>90</v>
      </c>
      <c r="G6" s="55" t="s">
        <v>99</v>
      </c>
      <c r="H6" s="251" t="s">
        <v>100</v>
      </c>
      <c r="I6" s="29"/>
      <c r="J6" s="29"/>
      <c r="K6" s="169"/>
      <c r="AB6" s="14" t="s">
        <v>136</v>
      </c>
      <c r="AC6" s="20">
        <v>50</v>
      </c>
      <c r="AD6" s="20">
        <v>80.000010000000003</v>
      </c>
      <c r="AE6" s="14" t="s">
        <v>101</v>
      </c>
      <c r="AH6" s="14" t="s">
        <v>96</v>
      </c>
      <c r="AI6" s="14" t="s">
        <v>97</v>
      </c>
      <c r="AJ6" s="14" t="s">
        <v>97</v>
      </c>
      <c r="AK6" s="14" t="s">
        <v>96</v>
      </c>
      <c r="AL6" s="14" t="s">
        <v>98</v>
      </c>
      <c r="AM6" s="19"/>
    </row>
    <row r="7" spans="3:42" x14ac:dyDescent="0.4">
      <c r="C7" s="55" t="str">
        <f t="shared" ref="C7:C52" si="0">C6</f>
        <v/>
      </c>
      <c r="D7" s="151"/>
      <c r="E7" s="116" t="str">
        <f>IF(E5 = "Select", "", E5)</f>
        <v/>
      </c>
      <c r="F7" s="29" t="s">
        <v>90</v>
      </c>
      <c r="G7" s="55" t="s">
        <v>102</v>
      </c>
      <c r="H7" s="251" t="s">
        <v>103</v>
      </c>
      <c r="I7" s="29"/>
      <c r="J7" s="29"/>
      <c r="K7" s="169"/>
      <c r="AB7" s="14" t="s">
        <v>136</v>
      </c>
      <c r="AC7" s="20">
        <v>35</v>
      </c>
      <c r="AD7" s="20">
        <v>50</v>
      </c>
      <c r="AE7" s="14" t="s">
        <v>104</v>
      </c>
      <c r="AH7" s="14" t="s">
        <v>96</v>
      </c>
      <c r="AI7" s="14" t="s">
        <v>97</v>
      </c>
      <c r="AJ7" s="14" t="s">
        <v>97</v>
      </c>
      <c r="AK7" s="14" t="s">
        <v>104</v>
      </c>
      <c r="AL7" s="14" t="s">
        <v>98</v>
      </c>
      <c r="AM7" s="19"/>
    </row>
    <row r="8" spans="3:42" x14ac:dyDescent="0.4">
      <c r="C8" s="55" t="str">
        <f t="shared" si="0"/>
        <v/>
      </c>
      <c r="D8" s="151"/>
      <c r="E8" s="116" t="str">
        <f>IF(E5 = "Select", "", E5)</f>
        <v/>
      </c>
      <c r="F8" s="29" t="s">
        <v>90</v>
      </c>
      <c r="G8" s="55" t="s">
        <v>105</v>
      </c>
      <c r="H8" s="251" t="s">
        <v>106</v>
      </c>
      <c r="I8" s="29"/>
      <c r="J8" s="29"/>
      <c r="K8" s="169"/>
      <c r="AB8" s="14" t="s">
        <v>136</v>
      </c>
      <c r="AC8" s="20">
        <v>15</v>
      </c>
      <c r="AD8" s="20">
        <v>35</v>
      </c>
      <c r="AE8" s="14" t="s">
        <v>96</v>
      </c>
      <c r="AH8" s="14" t="s">
        <v>96</v>
      </c>
      <c r="AI8" s="14" t="s">
        <v>97</v>
      </c>
      <c r="AJ8" s="14" t="s">
        <v>97</v>
      </c>
      <c r="AK8" s="14" t="s">
        <v>101</v>
      </c>
      <c r="AL8" s="14" t="s">
        <v>98</v>
      </c>
      <c r="AM8" s="19"/>
    </row>
    <row r="9" spans="3:42" x14ac:dyDescent="0.4">
      <c r="C9" s="55" t="str">
        <f t="shared" si="0"/>
        <v/>
      </c>
      <c r="D9" s="151"/>
      <c r="E9" s="116" t="str">
        <f t="shared" ref="E9" si="1">IF(E8 = "Select", "", E8)</f>
        <v/>
      </c>
      <c r="F9" s="206" t="s">
        <v>112</v>
      </c>
      <c r="G9" s="115" t="s">
        <v>91</v>
      </c>
      <c r="H9" s="250" t="s">
        <v>92</v>
      </c>
      <c r="I9" s="206"/>
      <c r="J9" s="206"/>
      <c r="K9" s="168"/>
      <c r="AB9" s="14" t="s">
        <v>136</v>
      </c>
      <c r="AC9" s="20">
        <v>0</v>
      </c>
      <c r="AD9" s="20">
        <v>15</v>
      </c>
      <c r="AE9" s="14" t="s">
        <v>97</v>
      </c>
      <c r="AF9" s="14" t="s">
        <v>107</v>
      </c>
      <c r="AH9" s="14" t="s">
        <v>96</v>
      </c>
      <c r="AI9" s="14" t="s">
        <v>97</v>
      </c>
      <c r="AJ9" s="14" t="s">
        <v>97</v>
      </c>
      <c r="AK9" s="14" t="s">
        <v>94</v>
      </c>
      <c r="AL9" s="14" t="s">
        <v>98</v>
      </c>
      <c r="AO9" s="19"/>
      <c r="AP9" s="19"/>
    </row>
    <row r="10" spans="3:42" x14ac:dyDescent="0.4">
      <c r="C10" s="55" t="str">
        <f t="shared" si="0"/>
        <v/>
      </c>
      <c r="D10" s="151"/>
      <c r="E10" s="116" t="str">
        <f t="shared" ref="E10" si="2">IF(E8 = "Select", "", E8)</f>
        <v/>
      </c>
      <c r="F10" s="29" t="s">
        <v>112</v>
      </c>
      <c r="G10" s="55" t="s">
        <v>99</v>
      </c>
      <c r="H10" s="251" t="s">
        <v>100</v>
      </c>
      <c r="I10" s="29"/>
      <c r="J10" s="29"/>
      <c r="K10" s="169"/>
      <c r="Y10" s="19"/>
      <c r="Z10" s="19"/>
      <c r="AA10" s="19"/>
      <c r="AB10" s="14" t="s">
        <v>138</v>
      </c>
      <c r="AC10" s="20">
        <v>0</v>
      </c>
      <c r="AD10" s="20">
        <v>20</v>
      </c>
      <c r="AE10" s="14" t="s">
        <v>94</v>
      </c>
      <c r="AF10" s="14" t="s">
        <v>107</v>
      </c>
      <c r="AH10" s="14" t="s">
        <v>96</v>
      </c>
      <c r="AI10" s="14" t="s">
        <v>97</v>
      </c>
      <c r="AJ10" s="14" t="s">
        <v>96</v>
      </c>
      <c r="AK10" s="14" t="s">
        <v>97</v>
      </c>
      <c r="AL10" s="14" t="s">
        <v>98</v>
      </c>
      <c r="AO10" s="19"/>
      <c r="AP10" s="19"/>
    </row>
    <row r="11" spans="3:42" x14ac:dyDescent="0.4">
      <c r="C11" s="55" t="str">
        <f t="shared" si="0"/>
        <v/>
      </c>
      <c r="D11" s="151"/>
      <c r="E11" s="116" t="str">
        <f t="shared" ref="E11" si="3">IF(E8 = "Select", "", E8)</f>
        <v/>
      </c>
      <c r="F11" s="29" t="s">
        <v>112</v>
      </c>
      <c r="G11" s="55" t="s">
        <v>102</v>
      </c>
      <c r="H11" s="251" t="s">
        <v>103</v>
      </c>
      <c r="I11" s="29"/>
      <c r="J11" s="29"/>
      <c r="K11" s="169"/>
      <c r="AB11" s="14" t="s">
        <v>138</v>
      </c>
      <c r="AC11" s="20">
        <v>20</v>
      </c>
      <c r="AD11" s="20">
        <v>40.000010000000003</v>
      </c>
      <c r="AE11" s="14" t="s">
        <v>101</v>
      </c>
      <c r="AH11" s="14" t="s">
        <v>96</v>
      </c>
      <c r="AI11" s="14" t="s">
        <v>97</v>
      </c>
      <c r="AJ11" s="14" t="s">
        <v>96</v>
      </c>
      <c r="AK11" s="14" t="s">
        <v>96</v>
      </c>
      <c r="AL11" s="14" t="s">
        <v>98</v>
      </c>
      <c r="AO11" s="19"/>
      <c r="AP11" s="19"/>
    </row>
    <row r="12" spans="3:42" x14ac:dyDescent="0.4">
      <c r="C12" s="55" t="str">
        <f t="shared" si="0"/>
        <v/>
      </c>
      <c r="D12" s="151"/>
      <c r="E12" s="116" t="str">
        <f t="shared" ref="E12" si="4">IF(E11 = "Select", "", E11)</f>
        <v/>
      </c>
      <c r="F12" s="29" t="s">
        <v>112</v>
      </c>
      <c r="G12" s="55" t="s">
        <v>105</v>
      </c>
      <c r="H12" s="251" t="s">
        <v>106</v>
      </c>
      <c r="I12" s="29"/>
      <c r="J12" s="29"/>
      <c r="K12" s="169"/>
      <c r="AB12" s="14" t="s">
        <v>138</v>
      </c>
      <c r="AC12" s="20">
        <v>40.000010000000003</v>
      </c>
      <c r="AD12" s="20">
        <v>60.000010000000003</v>
      </c>
      <c r="AE12" s="14" t="s">
        <v>104</v>
      </c>
      <c r="AH12" s="14" t="s">
        <v>96</v>
      </c>
      <c r="AI12" s="14" t="s">
        <v>97</v>
      </c>
      <c r="AJ12" s="14" t="s">
        <v>96</v>
      </c>
      <c r="AK12" s="14" t="s">
        <v>104</v>
      </c>
      <c r="AL12" s="14" t="s">
        <v>98</v>
      </c>
      <c r="AO12" s="19"/>
      <c r="AP12" s="19"/>
    </row>
    <row r="13" spans="3:42" x14ac:dyDescent="0.4">
      <c r="C13" s="55" t="str">
        <f t="shared" si="0"/>
        <v/>
      </c>
      <c r="D13" s="151"/>
      <c r="E13" s="116" t="str">
        <f t="shared" ref="E13" si="5">IF(E11 = "Select", "", E11)</f>
        <v/>
      </c>
      <c r="F13" s="206" t="s">
        <v>113</v>
      </c>
      <c r="G13" s="115" t="s">
        <v>91</v>
      </c>
      <c r="H13" s="250" t="s">
        <v>92</v>
      </c>
      <c r="I13" s="206"/>
      <c r="J13" s="206"/>
      <c r="K13" s="168"/>
      <c r="Y13" s="19"/>
      <c r="Z13" s="19"/>
      <c r="AA13" s="19"/>
      <c r="AB13" s="14" t="s">
        <v>138</v>
      </c>
      <c r="AC13" s="20">
        <v>60.000010000000003</v>
      </c>
      <c r="AD13" s="20">
        <v>80.000010000000003</v>
      </c>
      <c r="AE13" s="14" t="s">
        <v>96</v>
      </c>
      <c r="AH13" s="14" t="s">
        <v>96</v>
      </c>
      <c r="AI13" s="14" t="s">
        <v>97</v>
      </c>
      <c r="AJ13" s="14" t="s">
        <v>96</v>
      </c>
      <c r="AK13" s="14" t="s">
        <v>101</v>
      </c>
      <c r="AL13" s="14" t="s">
        <v>98</v>
      </c>
    </row>
    <row r="14" spans="3:42" x14ac:dyDescent="0.4">
      <c r="C14" s="55" t="str">
        <f t="shared" si="0"/>
        <v/>
      </c>
      <c r="D14" s="151"/>
      <c r="E14" s="116" t="str">
        <f t="shared" ref="E14" si="6">IF(E11 = "Select", "", E11)</f>
        <v/>
      </c>
      <c r="F14" s="29" t="s">
        <v>113</v>
      </c>
      <c r="G14" s="55" t="s">
        <v>99</v>
      </c>
      <c r="H14" s="251" t="s">
        <v>100</v>
      </c>
      <c r="I14" s="29"/>
      <c r="J14" s="29"/>
      <c r="K14" s="169"/>
      <c r="AB14" s="14" t="s">
        <v>138</v>
      </c>
      <c r="AC14" s="20">
        <v>80.000010000000003</v>
      </c>
      <c r="AD14" s="20">
        <v>10000000</v>
      </c>
      <c r="AE14" s="14" t="s">
        <v>97</v>
      </c>
      <c r="AF14" s="14" t="s">
        <v>137</v>
      </c>
      <c r="AH14" s="14" t="s">
        <v>96</v>
      </c>
      <c r="AI14" s="14" t="s">
        <v>97</v>
      </c>
      <c r="AJ14" s="14" t="s">
        <v>96</v>
      </c>
      <c r="AK14" s="14" t="s">
        <v>94</v>
      </c>
      <c r="AL14" s="14" t="s">
        <v>98</v>
      </c>
    </row>
    <row r="15" spans="3:42" x14ac:dyDescent="0.4">
      <c r="C15" s="55" t="str">
        <f t="shared" si="0"/>
        <v/>
      </c>
      <c r="D15" s="151"/>
      <c r="E15" s="116" t="str">
        <f t="shared" ref="E15" si="7">IF(E14 = "Select", "", E14)</f>
        <v/>
      </c>
      <c r="F15" s="29" t="s">
        <v>113</v>
      </c>
      <c r="G15" s="55" t="s">
        <v>102</v>
      </c>
      <c r="H15" s="251" t="s">
        <v>103</v>
      </c>
      <c r="I15" s="29"/>
      <c r="J15" s="29"/>
      <c r="K15" s="169"/>
      <c r="AB15" s="14" t="s">
        <v>139</v>
      </c>
      <c r="AC15" s="20">
        <v>0</v>
      </c>
      <c r="AD15" s="20">
        <v>3.1E-2</v>
      </c>
      <c r="AE15" s="14" t="s">
        <v>94</v>
      </c>
      <c r="AH15" s="14" t="s">
        <v>96</v>
      </c>
      <c r="AI15" s="14" t="s">
        <v>97</v>
      </c>
      <c r="AJ15" s="14" t="s">
        <v>104</v>
      </c>
      <c r="AK15" s="14" t="s">
        <v>97</v>
      </c>
      <c r="AL15" s="14" t="s">
        <v>98</v>
      </c>
    </row>
    <row r="16" spans="3:42" x14ac:dyDescent="0.4">
      <c r="C16" s="55" t="str">
        <f t="shared" si="0"/>
        <v/>
      </c>
      <c r="D16" s="151"/>
      <c r="E16" s="116" t="str">
        <f t="shared" ref="E16" si="8">IF(E14 = "Select", "", E14)</f>
        <v/>
      </c>
      <c r="F16" s="29" t="s">
        <v>113</v>
      </c>
      <c r="G16" s="55" t="s">
        <v>105</v>
      </c>
      <c r="H16" s="251" t="s">
        <v>106</v>
      </c>
      <c r="I16" s="29"/>
      <c r="J16" s="29"/>
      <c r="K16" s="169"/>
      <c r="AB16" s="14" t="s">
        <v>139</v>
      </c>
      <c r="AC16" s="20">
        <v>3.1E-2</v>
      </c>
      <c r="AD16" s="20">
        <v>0.12600001</v>
      </c>
      <c r="AE16" s="14" t="s">
        <v>101</v>
      </c>
      <c r="AH16" s="14" t="s">
        <v>96</v>
      </c>
      <c r="AI16" s="14" t="s">
        <v>97</v>
      </c>
      <c r="AJ16" s="14" t="s">
        <v>104</v>
      </c>
      <c r="AK16" s="14" t="s">
        <v>96</v>
      </c>
      <c r="AL16" s="14" t="s">
        <v>98</v>
      </c>
    </row>
    <row r="17" spans="3:38" x14ac:dyDescent="0.4">
      <c r="C17" s="55" t="str">
        <f t="shared" si="0"/>
        <v/>
      </c>
      <c r="D17" s="151"/>
      <c r="E17" s="116" t="str">
        <f t="shared" ref="E17" si="9">IF(E14 = "Select", "", E14)</f>
        <v/>
      </c>
      <c r="F17" s="206" t="s">
        <v>118</v>
      </c>
      <c r="G17" s="115" t="s">
        <v>91</v>
      </c>
      <c r="H17" s="250" t="s">
        <v>92</v>
      </c>
      <c r="I17" s="206"/>
      <c r="J17" s="206"/>
      <c r="K17" s="168"/>
      <c r="AB17" s="14" t="s">
        <v>139</v>
      </c>
      <c r="AC17" s="20">
        <v>0.12600001</v>
      </c>
      <c r="AD17" s="20">
        <v>0.18700000999999999</v>
      </c>
      <c r="AE17" s="14" t="s">
        <v>104</v>
      </c>
      <c r="AH17" s="14" t="s">
        <v>96</v>
      </c>
      <c r="AI17" s="14" t="s">
        <v>97</v>
      </c>
      <c r="AJ17" s="14" t="s">
        <v>104</v>
      </c>
      <c r="AK17" s="14" t="s">
        <v>104</v>
      </c>
      <c r="AL17" s="14" t="s">
        <v>98</v>
      </c>
    </row>
    <row r="18" spans="3:38" x14ac:dyDescent="0.4">
      <c r="C18" s="55" t="str">
        <f t="shared" si="0"/>
        <v/>
      </c>
      <c r="D18" s="151"/>
      <c r="E18" s="116" t="str">
        <f t="shared" ref="E18" si="10">IF(E17 = "Select", "", E17)</f>
        <v/>
      </c>
      <c r="F18" s="29" t="s">
        <v>118</v>
      </c>
      <c r="G18" s="55" t="s">
        <v>99</v>
      </c>
      <c r="H18" s="251" t="s">
        <v>100</v>
      </c>
      <c r="I18" s="29"/>
      <c r="J18" s="29"/>
      <c r="K18" s="169"/>
      <c r="AB18" s="14" t="s">
        <v>139</v>
      </c>
      <c r="AC18" s="20">
        <v>0.18700000999999999</v>
      </c>
      <c r="AD18" s="20">
        <v>0.23700001000000001</v>
      </c>
      <c r="AE18" s="14" t="s">
        <v>96</v>
      </c>
      <c r="AH18" s="14" t="s">
        <v>96</v>
      </c>
      <c r="AI18" s="14" t="s">
        <v>97</v>
      </c>
      <c r="AJ18" s="14" t="s">
        <v>104</v>
      </c>
      <c r="AK18" s="14" t="s">
        <v>101</v>
      </c>
      <c r="AL18" s="14" t="s">
        <v>98</v>
      </c>
    </row>
    <row r="19" spans="3:38" x14ac:dyDescent="0.4">
      <c r="C19" s="55" t="str">
        <f t="shared" si="0"/>
        <v/>
      </c>
      <c r="D19" s="151"/>
      <c r="E19" s="116" t="str">
        <f t="shared" ref="E19" si="11">IF(E17 = "Select", "", E17)</f>
        <v/>
      </c>
      <c r="F19" s="29" t="s">
        <v>118</v>
      </c>
      <c r="G19" s="55" t="s">
        <v>102</v>
      </c>
      <c r="H19" s="251" t="s">
        <v>103</v>
      </c>
      <c r="I19" s="29"/>
      <c r="J19" s="29"/>
      <c r="K19" s="169"/>
      <c r="O19" s="67"/>
      <c r="AB19" s="14" t="s">
        <v>139</v>
      </c>
      <c r="AC19" s="20">
        <v>0.23700001000000001</v>
      </c>
      <c r="AD19" s="20">
        <v>10000000</v>
      </c>
      <c r="AE19" s="14" t="s">
        <v>97</v>
      </c>
      <c r="AF19" s="14" t="s">
        <v>137</v>
      </c>
      <c r="AH19" s="14" t="s">
        <v>96</v>
      </c>
      <c r="AI19" s="14" t="s">
        <v>97</v>
      </c>
      <c r="AJ19" s="14" t="s">
        <v>104</v>
      </c>
      <c r="AK19" s="14" t="s">
        <v>94</v>
      </c>
      <c r="AL19" s="14" t="s">
        <v>98</v>
      </c>
    </row>
    <row r="20" spans="3:38" x14ac:dyDescent="0.4">
      <c r="C20" s="55" t="str">
        <f t="shared" si="0"/>
        <v/>
      </c>
      <c r="D20" s="151"/>
      <c r="E20" s="119" t="str">
        <f t="shared" ref="E20" si="12">IF(E17 = "Select", "", E17)</f>
        <v/>
      </c>
      <c r="F20" s="207" t="s">
        <v>118</v>
      </c>
      <c r="G20" s="118" t="s">
        <v>105</v>
      </c>
      <c r="H20" s="252" t="s">
        <v>106</v>
      </c>
      <c r="I20" s="207"/>
      <c r="J20" s="207"/>
      <c r="K20" s="170"/>
      <c r="AB20" s="14" t="s">
        <v>140</v>
      </c>
      <c r="AC20" s="20">
        <v>0</v>
      </c>
      <c r="AD20" s="20">
        <v>1.2</v>
      </c>
      <c r="AE20" s="14" t="s">
        <v>94</v>
      </c>
      <c r="AF20" s="14" t="s">
        <v>107</v>
      </c>
      <c r="AH20" s="14" t="s">
        <v>96</v>
      </c>
      <c r="AI20" s="14" t="s">
        <v>97</v>
      </c>
      <c r="AJ20" s="14" t="s">
        <v>101</v>
      </c>
      <c r="AK20" s="14" t="s">
        <v>97</v>
      </c>
      <c r="AL20" s="14" t="s">
        <v>98</v>
      </c>
    </row>
    <row r="21" spans="3:38" x14ac:dyDescent="0.4">
      <c r="C21" s="55" t="str">
        <f t="shared" si="0"/>
        <v/>
      </c>
      <c r="D21" s="151"/>
      <c r="E21" s="188" t="s">
        <v>89</v>
      </c>
      <c r="F21" s="206" t="s">
        <v>90</v>
      </c>
      <c r="G21" s="115" t="s">
        <v>91</v>
      </c>
      <c r="H21" s="250" t="str">
        <f>H5</f>
        <v>0-30</v>
      </c>
      <c r="I21" s="206"/>
      <c r="J21" s="206"/>
      <c r="K21" s="168"/>
      <c r="AB21" s="14" t="s">
        <v>140</v>
      </c>
      <c r="AC21" s="20">
        <v>1.2000010000000001</v>
      </c>
      <c r="AD21" s="20">
        <v>3.0000100000000001</v>
      </c>
      <c r="AE21" s="14" t="s">
        <v>101</v>
      </c>
      <c r="AH21" s="14" t="s">
        <v>96</v>
      </c>
      <c r="AI21" s="14" t="s">
        <v>97</v>
      </c>
      <c r="AJ21" s="14" t="s">
        <v>101</v>
      </c>
      <c r="AK21" s="14" t="s">
        <v>96</v>
      </c>
      <c r="AL21" s="14" t="s">
        <v>98</v>
      </c>
    </row>
    <row r="22" spans="3:38" x14ac:dyDescent="0.4">
      <c r="C22" s="55" t="str">
        <f t="shared" si="0"/>
        <v/>
      </c>
      <c r="D22" s="151"/>
      <c r="E22" s="112" t="str">
        <f>IF(E21 = "Select", "", E21)</f>
        <v/>
      </c>
      <c r="F22" s="29" t="s">
        <v>90</v>
      </c>
      <c r="G22" s="55" t="s">
        <v>99</v>
      </c>
      <c r="H22" s="251" t="str">
        <f t="shared" ref="H22:H52" si="13">H6</f>
        <v>31-100</v>
      </c>
      <c r="I22" s="29"/>
      <c r="J22" s="29"/>
      <c r="K22" s="169"/>
      <c r="AB22" s="14" t="s">
        <v>140</v>
      </c>
      <c r="AC22" s="20">
        <v>3.0000100000000001</v>
      </c>
      <c r="AD22" s="20">
        <v>3.9000010000000001</v>
      </c>
      <c r="AE22" s="14" t="s">
        <v>104</v>
      </c>
      <c r="AH22" s="14" t="s">
        <v>96</v>
      </c>
      <c r="AI22" s="14" t="s">
        <v>97</v>
      </c>
      <c r="AJ22" s="14" t="s">
        <v>101</v>
      </c>
      <c r="AK22" s="14" t="s">
        <v>104</v>
      </c>
      <c r="AL22" s="14" t="s">
        <v>98</v>
      </c>
    </row>
    <row r="23" spans="3:38" x14ac:dyDescent="0.4">
      <c r="C23" s="55" t="str">
        <f t="shared" si="0"/>
        <v/>
      </c>
      <c r="D23" s="151"/>
      <c r="E23" s="112" t="str">
        <f>IF(E21 = "Select", "", E21)</f>
        <v/>
      </c>
      <c r="F23" s="29" t="s">
        <v>90</v>
      </c>
      <c r="G23" s="55" t="s">
        <v>102</v>
      </c>
      <c r="H23" s="251" t="str">
        <f t="shared" si="13"/>
        <v>101-150</v>
      </c>
      <c r="I23" s="29"/>
      <c r="J23" s="29"/>
      <c r="K23" s="169"/>
      <c r="AB23" s="14" t="s">
        <v>140</v>
      </c>
      <c r="AC23" s="20">
        <v>3.9000010000000001</v>
      </c>
      <c r="AD23" s="20">
        <v>4.800001</v>
      </c>
      <c r="AE23" s="14" t="s">
        <v>96</v>
      </c>
      <c r="AH23" s="14" t="s">
        <v>96</v>
      </c>
      <c r="AI23" s="14" t="s">
        <v>97</v>
      </c>
      <c r="AJ23" s="14" t="s">
        <v>101</v>
      </c>
      <c r="AK23" s="14" t="s">
        <v>101</v>
      </c>
      <c r="AL23" s="14" t="s">
        <v>98</v>
      </c>
    </row>
    <row r="24" spans="3:38" x14ac:dyDescent="0.4">
      <c r="C24" s="55" t="str">
        <f t="shared" si="0"/>
        <v/>
      </c>
      <c r="D24" s="151"/>
      <c r="E24" s="112" t="str">
        <f>IF(E21 = "Select", "", E21)</f>
        <v/>
      </c>
      <c r="F24" s="207" t="s">
        <v>90</v>
      </c>
      <c r="G24" s="118" t="s">
        <v>105</v>
      </c>
      <c r="H24" s="252" t="str">
        <f t="shared" si="13"/>
        <v>500+</v>
      </c>
      <c r="I24" s="207"/>
      <c r="J24" s="207"/>
      <c r="K24" s="170"/>
      <c r="AB24" s="14" t="s">
        <v>140</v>
      </c>
      <c r="AC24" s="20">
        <v>4.800001</v>
      </c>
      <c r="AD24" s="20">
        <v>10000000</v>
      </c>
      <c r="AE24" s="14" t="s">
        <v>97</v>
      </c>
      <c r="AF24" s="14" t="s">
        <v>137</v>
      </c>
      <c r="AH24" s="14" t="s">
        <v>96</v>
      </c>
      <c r="AI24" s="14" t="s">
        <v>97</v>
      </c>
      <c r="AJ24" s="14" t="s">
        <v>101</v>
      </c>
      <c r="AK24" s="14" t="s">
        <v>94</v>
      </c>
      <c r="AL24" s="14" t="s">
        <v>98</v>
      </c>
    </row>
    <row r="25" spans="3:38" x14ac:dyDescent="0.4">
      <c r="C25" s="55" t="str">
        <f t="shared" si="0"/>
        <v/>
      </c>
      <c r="D25" s="151"/>
      <c r="E25" s="112" t="str">
        <f>IF(E21 = "Select", "", E21)</f>
        <v/>
      </c>
      <c r="F25" s="29" t="s">
        <v>112</v>
      </c>
      <c r="G25" s="55" t="s">
        <v>91</v>
      </c>
      <c r="H25" s="251" t="str">
        <f t="shared" si="13"/>
        <v>0-30</v>
      </c>
      <c r="I25" s="29"/>
      <c r="J25" s="29"/>
      <c r="K25" s="169"/>
      <c r="AB25" s="14" t="s">
        <v>141</v>
      </c>
      <c r="AC25" s="20">
        <v>0.83000010000000002</v>
      </c>
      <c r="AD25" s="20">
        <v>10000000</v>
      </c>
      <c r="AE25" s="14" t="s">
        <v>94</v>
      </c>
      <c r="AF25" s="14" t="s">
        <v>137</v>
      </c>
      <c r="AH25" s="14" t="s">
        <v>96</v>
      </c>
      <c r="AI25" s="14" t="s">
        <v>97</v>
      </c>
      <c r="AJ25" s="14" t="s">
        <v>94</v>
      </c>
      <c r="AK25" s="14" t="s">
        <v>97</v>
      </c>
      <c r="AL25" s="14" t="s">
        <v>98</v>
      </c>
    </row>
    <row r="26" spans="3:38" x14ac:dyDescent="0.4">
      <c r="C26" s="55" t="str">
        <f t="shared" si="0"/>
        <v/>
      </c>
      <c r="D26" s="151"/>
      <c r="E26" s="112" t="str">
        <f>IF(E21 = "Select", "", E21)</f>
        <v/>
      </c>
      <c r="F26" s="29" t="s">
        <v>112</v>
      </c>
      <c r="G26" s="55" t="s">
        <v>99</v>
      </c>
      <c r="H26" s="251" t="str">
        <f t="shared" si="13"/>
        <v>31-100</v>
      </c>
      <c r="I26" s="29"/>
      <c r="J26" s="29"/>
      <c r="K26" s="169"/>
      <c r="AB26" s="14" t="s">
        <v>141</v>
      </c>
      <c r="AC26" s="20">
        <v>0.59000010000000003</v>
      </c>
      <c r="AD26" s="20">
        <v>0.83000010000000002</v>
      </c>
      <c r="AE26" s="14" t="s">
        <v>101</v>
      </c>
      <c r="AH26" s="14" t="s">
        <v>96</v>
      </c>
      <c r="AI26" s="14" t="s">
        <v>97</v>
      </c>
      <c r="AJ26" s="14" t="s">
        <v>94</v>
      </c>
      <c r="AK26" s="14" t="s">
        <v>96</v>
      </c>
      <c r="AL26" s="14" t="s">
        <v>98</v>
      </c>
    </row>
    <row r="27" spans="3:38" x14ac:dyDescent="0.4">
      <c r="C27" s="55" t="str">
        <f t="shared" si="0"/>
        <v/>
      </c>
      <c r="D27" s="151"/>
      <c r="E27" s="112" t="str">
        <f>IF(E21 = "Select", "", E21)</f>
        <v/>
      </c>
      <c r="F27" s="29" t="s">
        <v>112</v>
      </c>
      <c r="G27" s="55" t="s">
        <v>102</v>
      </c>
      <c r="H27" s="251" t="str">
        <f t="shared" si="13"/>
        <v>101-150</v>
      </c>
      <c r="I27" s="29"/>
      <c r="J27" s="29"/>
      <c r="K27" s="169"/>
      <c r="AB27" s="14" t="s">
        <v>141</v>
      </c>
      <c r="AC27" s="20">
        <v>0.47000009999999998</v>
      </c>
      <c r="AD27" s="20">
        <v>0.59000010000000003</v>
      </c>
      <c r="AE27" s="14" t="s">
        <v>104</v>
      </c>
      <c r="AH27" s="14" t="s">
        <v>96</v>
      </c>
      <c r="AI27" s="14" t="s">
        <v>97</v>
      </c>
      <c r="AJ27" s="14" t="s">
        <v>94</v>
      </c>
      <c r="AK27" s="14" t="s">
        <v>104</v>
      </c>
      <c r="AL27" s="14" t="s">
        <v>98</v>
      </c>
    </row>
    <row r="28" spans="3:38" x14ac:dyDescent="0.4">
      <c r="C28" s="55" t="str">
        <f t="shared" si="0"/>
        <v/>
      </c>
      <c r="D28" s="151"/>
      <c r="E28" s="112" t="str">
        <f>IF(E21 = "Select", "", E21)</f>
        <v/>
      </c>
      <c r="F28" s="207" t="s">
        <v>112</v>
      </c>
      <c r="G28" s="118" t="s">
        <v>105</v>
      </c>
      <c r="H28" s="252" t="str">
        <f t="shared" si="13"/>
        <v>500+</v>
      </c>
      <c r="I28" s="207"/>
      <c r="J28" s="207"/>
      <c r="K28" s="170"/>
      <c r="AB28" s="14" t="s">
        <v>141</v>
      </c>
      <c r="AC28" s="20">
        <v>0.35000009999999998</v>
      </c>
      <c r="AD28" s="20">
        <v>0.47000009999999998</v>
      </c>
      <c r="AE28" s="14" t="s">
        <v>96</v>
      </c>
      <c r="AH28" s="14" t="s">
        <v>96</v>
      </c>
      <c r="AI28" s="14" t="s">
        <v>97</v>
      </c>
      <c r="AJ28" s="14" t="s">
        <v>94</v>
      </c>
      <c r="AK28" s="14" t="s">
        <v>101</v>
      </c>
      <c r="AL28" s="14" t="s">
        <v>98</v>
      </c>
    </row>
    <row r="29" spans="3:38" x14ac:dyDescent="0.4">
      <c r="C29" s="55" t="str">
        <f t="shared" si="0"/>
        <v/>
      </c>
      <c r="D29" s="151"/>
      <c r="E29" s="112" t="str">
        <f>IF(E21 = "Select", "", E21)</f>
        <v/>
      </c>
      <c r="F29" s="29" t="s">
        <v>113</v>
      </c>
      <c r="G29" s="55" t="s">
        <v>91</v>
      </c>
      <c r="H29" s="251" t="str">
        <f t="shared" si="13"/>
        <v>0-30</v>
      </c>
      <c r="I29" s="29"/>
      <c r="J29" s="29"/>
      <c r="K29" s="169"/>
      <c r="AB29" s="14" t="s">
        <v>141</v>
      </c>
      <c r="AC29" s="20">
        <v>0</v>
      </c>
      <c r="AD29" s="20">
        <v>0.35000009999999998</v>
      </c>
      <c r="AE29" s="14" t="s">
        <v>97</v>
      </c>
      <c r="AF29" s="14" t="s">
        <v>107</v>
      </c>
      <c r="AH29" s="14" t="s">
        <v>96</v>
      </c>
      <c r="AI29" s="14" t="s">
        <v>97</v>
      </c>
      <c r="AJ29" s="14" t="s">
        <v>94</v>
      </c>
      <c r="AK29" s="14" t="s">
        <v>94</v>
      </c>
      <c r="AL29" s="14" t="s">
        <v>98</v>
      </c>
    </row>
    <row r="30" spans="3:38" x14ac:dyDescent="0.4">
      <c r="C30" s="55" t="str">
        <f t="shared" si="0"/>
        <v/>
      </c>
      <c r="D30" s="151"/>
      <c r="E30" s="112" t="str">
        <f>IF(E21 = "Select", "", E21)</f>
        <v/>
      </c>
      <c r="F30" s="29" t="s">
        <v>113</v>
      </c>
      <c r="G30" s="55" t="s">
        <v>99</v>
      </c>
      <c r="H30" s="251" t="str">
        <f t="shared" si="13"/>
        <v>31-100</v>
      </c>
      <c r="I30" s="29"/>
      <c r="J30" s="29"/>
      <c r="K30" s="169"/>
      <c r="AB30" s="14" t="s">
        <v>142</v>
      </c>
      <c r="AC30" s="20">
        <v>8.0000099999999996</v>
      </c>
      <c r="AD30" s="20">
        <v>100</v>
      </c>
      <c r="AE30" s="14" t="s">
        <v>94</v>
      </c>
      <c r="AH30" s="14" t="s">
        <v>96</v>
      </c>
      <c r="AI30" s="14" t="s">
        <v>96</v>
      </c>
      <c r="AJ30" s="14" t="s">
        <v>97</v>
      </c>
      <c r="AK30" s="14" t="s">
        <v>97</v>
      </c>
      <c r="AL30" s="14" t="s">
        <v>98</v>
      </c>
    </row>
    <row r="31" spans="3:38" x14ac:dyDescent="0.4">
      <c r="C31" s="55" t="str">
        <f t="shared" si="0"/>
        <v/>
      </c>
      <c r="D31" s="151"/>
      <c r="E31" s="112" t="str">
        <f>IF(E21 = "Select", "", E21)</f>
        <v/>
      </c>
      <c r="F31" s="29" t="s">
        <v>113</v>
      </c>
      <c r="G31" s="55" t="s">
        <v>102</v>
      </c>
      <c r="H31" s="251" t="str">
        <f t="shared" si="13"/>
        <v>101-150</v>
      </c>
      <c r="I31" s="29"/>
      <c r="J31" s="29"/>
      <c r="K31" s="169"/>
      <c r="AB31" s="14" t="s">
        <v>142</v>
      </c>
      <c r="AC31" s="20">
        <v>6</v>
      </c>
      <c r="AD31" s="20">
        <v>8.0000099999999996</v>
      </c>
      <c r="AE31" s="14" t="s">
        <v>101</v>
      </c>
      <c r="AH31" s="14" t="s">
        <v>96</v>
      </c>
      <c r="AI31" s="14" t="s">
        <v>96</v>
      </c>
      <c r="AJ31" s="14" t="s">
        <v>97</v>
      </c>
      <c r="AK31" s="14" t="s">
        <v>96</v>
      </c>
      <c r="AL31" s="14" t="s">
        <v>98</v>
      </c>
    </row>
    <row r="32" spans="3:38" x14ac:dyDescent="0.4">
      <c r="C32" s="55" t="str">
        <f t="shared" si="0"/>
        <v/>
      </c>
      <c r="D32" s="151"/>
      <c r="E32" s="112" t="str">
        <f>IF(E21 = "Select", "", E21)</f>
        <v/>
      </c>
      <c r="F32" s="207" t="s">
        <v>113</v>
      </c>
      <c r="G32" s="118" t="s">
        <v>105</v>
      </c>
      <c r="H32" s="252" t="str">
        <f t="shared" si="13"/>
        <v>500+</v>
      </c>
      <c r="I32" s="207"/>
      <c r="J32" s="207"/>
      <c r="K32" s="170"/>
      <c r="AB32" s="14" t="s">
        <v>142</v>
      </c>
      <c r="AC32" s="20">
        <v>4</v>
      </c>
      <c r="AD32" s="20">
        <v>6</v>
      </c>
      <c r="AE32" s="14" t="s">
        <v>104</v>
      </c>
      <c r="AH32" s="14" t="s">
        <v>96</v>
      </c>
      <c r="AI32" s="14" t="s">
        <v>96</v>
      </c>
      <c r="AJ32" s="14" t="s">
        <v>97</v>
      </c>
      <c r="AK32" s="14" t="s">
        <v>104</v>
      </c>
      <c r="AL32" s="14" t="s">
        <v>98</v>
      </c>
    </row>
    <row r="33" spans="3:38" x14ac:dyDescent="0.4">
      <c r="C33" s="55" t="str">
        <f t="shared" si="0"/>
        <v/>
      </c>
      <c r="D33" s="151"/>
      <c r="E33" s="112" t="str">
        <f>IF(E21 = "Select", "", E21)</f>
        <v/>
      </c>
      <c r="F33" s="206" t="s">
        <v>118</v>
      </c>
      <c r="G33" s="115" t="s">
        <v>91</v>
      </c>
      <c r="H33" s="250" t="str">
        <f t="shared" si="13"/>
        <v>0-30</v>
      </c>
      <c r="I33" s="206"/>
      <c r="J33" s="206"/>
      <c r="K33" s="168"/>
      <c r="AB33" s="14" t="s">
        <v>142</v>
      </c>
      <c r="AC33" s="20">
        <v>2</v>
      </c>
      <c r="AD33" s="20">
        <v>4</v>
      </c>
      <c r="AE33" s="14" t="s">
        <v>96</v>
      </c>
      <c r="AH33" s="14" t="s">
        <v>96</v>
      </c>
      <c r="AI33" s="14" t="s">
        <v>96</v>
      </c>
      <c r="AJ33" s="14" t="s">
        <v>97</v>
      </c>
      <c r="AK33" s="14" t="s">
        <v>101</v>
      </c>
      <c r="AL33" s="14" t="s">
        <v>98</v>
      </c>
    </row>
    <row r="34" spans="3:38" x14ac:dyDescent="0.4">
      <c r="C34" s="55" t="str">
        <f t="shared" si="0"/>
        <v/>
      </c>
      <c r="D34" s="151"/>
      <c r="E34" s="112" t="str">
        <f>IF(E21 = "Select", "", E21)</f>
        <v/>
      </c>
      <c r="F34" s="29" t="s">
        <v>118</v>
      </c>
      <c r="G34" s="55" t="s">
        <v>99</v>
      </c>
      <c r="H34" s="251" t="str">
        <f t="shared" si="13"/>
        <v>31-100</v>
      </c>
      <c r="I34" s="29"/>
      <c r="J34" s="29"/>
      <c r="K34" s="169"/>
      <c r="AB34" s="14" t="s">
        <v>142</v>
      </c>
      <c r="AC34" s="20">
        <v>0</v>
      </c>
      <c r="AD34" s="20">
        <v>2</v>
      </c>
      <c r="AE34" s="14" t="s">
        <v>97</v>
      </c>
      <c r="AF34" s="14" t="s">
        <v>107</v>
      </c>
      <c r="AH34" s="14" t="s">
        <v>96</v>
      </c>
      <c r="AI34" s="14" t="s">
        <v>96</v>
      </c>
      <c r="AJ34" s="14" t="s">
        <v>97</v>
      </c>
      <c r="AK34" s="14" t="s">
        <v>94</v>
      </c>
      <c r="AL34" s="14" t="s">
        <v>98</v>
      </c>
    </row>
    <row r="35" spans="3:38" x14ac:dyDescent="0.4">
      <c r="C35" s="55" t="str">
        <f t="shared" si="0"/>
        <v/>
      </c>
      <c r="D35" s="151"/>
      <c r="E35" s="112" t="str">
        <f>IF(E21 = "Select", "", E21)</f>
        <v/>
      </c>
      <c r="F35" s="29" t="s">
        <v>118</v>
      </c>
      <c r="G35" s="55" t="s">
        <v>102</v>
      </c>
      <c r="H35" s="251" t="str">
        <f t="shared" si="13"/>
        <v>101-150</v>
      </c>
      <c r="I35" s="29"/>
      <c r="J35" s="29"/>
      <c r="K35" s="169"/>
      <c r="AB35" s="14" t="s">
        <v>143</v>
      </c>
      <c r="AC35" s="20">
        <v>16.00001</v>
      </c>
      <c r="AD35" s="20">
        <v>10000000</v>
      </c>
      <c r="AE35" s="14" t="s">
        <v>94</v>
      </c>
      <c r="AF35" s="14" t="s">
        <v>137</v>
      </c>
      <c r="AH35" s="14" t="s">
        <v>96</v>
      </c>
      <c r="AI35" s="14" t="s">
        <v>96</v>
      </c>
      <c r="AJ35" s="14" t="s">
        <v>96</v>
      </c>
      <c r="AK35" s="14" t="s">
        <v>97</v>
      </c>
      <c r="AL35" s="14" t="s">
        <v>98</v>
      </c>
    </row>
    <row r="36" spans="3:38" x14ac:dyDescent="0.4">
      <c r="C36" s="55" t="str">
        <f t="shared" si="0"/>
        <v/>
      </c>
      <c r="D36" s="151"/>
      <c r="E36" s="113" t="str">
        <f>IF(E21 = "Select", "", E21)</f>
        <v/>
      </c>
      <c r="F36" s="207" t="s">
        <v>118</v>
      </c>
      <c r="G36" s="118" t="s">
        <v>105</v>
      </c>
      <c r="H36" s="252" t="str">
        <f t="shared" si="13"/>
        <v>500+</v>
      </c>
      <c r="I36" s="207"/>
      <c r="J36" s="207"/>
      <c r="K36" s="170"/>
      <c r="AB36" s="14" t="s">
        <v>143</v>
      </c>
      <c r="AC36" s="20">
        <v>11.7</v>
      </c>
      <c r="AD36" s="20">
        <v>16.00001</v>
      </c>
      <c r="AE36" s="14" t="s">
        <v>101</v>
      </c>
      <c r="AH36" s="14" t="s">
        <v>96</v>
      </c>
      <c r="AI36" s="14" t="s">
        <v>96</v>
      </c>
      <c r="AJ36" s="14" t="s">
        <v>96</v>
      </c>
      <c r="AK36" s="14" t="s">
        <v>96</v>
      </c>
      <c r="AL36" s="14" t="s">
        <v>98</v>
      </c>
    </row>
    <row r="37" spans="3:38" x14ac:dyDescent="0.4">
      <c r="C37" s="55" t="str">
        <f t="shared" si="0"/>
        <v/>
      </c>
      <c r="D37" s="151"/>
      <c r="E37" s="188" t="s">
        <v>89</v>
      </c>
      <c r="F37" s="206" t="s">
        <v>90</v>
      </c>
      <c r="G37" s="115" t="s">
        <v>91</v>
      </c>
      <c r="H37" s="250" t="str">
        <f>H21</f>
        <v>0-30</v>
      </c>
      <c r="I37" s="206"/>
      <c r="J37" s="206"/>
      <c r="K37" s="168"/>
      <c r="AB37" s="14" t="s">
        <v>143</v>
      </c>
      <c r="AC37" s="20">
        <v>7.5</v>
      </c>
      <c r="AD37" s="20">
        <v>11.7</v>
      </c>
      <c r="AE37" s="14" t="s">
        <v>104</v>
      </c>
      <c r="AH37" s="14" t="s">
        <v>96</v>
      </c>
      <c r="AI37" s="14" t="s">
        <v>96</v>
      </c>
      <c r="AJ37" s="14" t="s">
        <v>96</v>
      </c>
      <c r="AK37" s="14" t="s">
        <v>104</v>
      </c>
      <c r="AL37" s="14" t="s">
        <v>98</v>
      </c>
    </row>
    <row r="38" spans="3:38" x14ac:dyDescent="0.4">
      <c r="C38" s="55" t="str">
        <f t="shared" si="0"/>
        <v/>
      </c>
      <c r="D38" s="151"/>
      <c r="E38" s="112" t="str">
        <f>IF(E37 = "Select", "", E37)</f>
        <v/>
      </c>
      <c r="F38" s="29" t="s">
        <v>90</v>
      </c>
      <c r="G38" s="55" t="s">
        <v>99</v>
      </c>
      <c r="H38" s="251" t="str">
        <f t="shared" si="13"/>
        <v>31-100</v>
      </c>
      <c r="I38" s="29"/>
      <c r="J38" s="29"/>
      <c r="K38" s="169"/>
      <c r="AB38" s="14" t="s">
        <v>143</v>
      </c>
      <c r="AC38" s="20">
        <v>5.4</v>
      </c>
      <c r="AD38" s="20">
        <v>7.5</v>
      </c>
      <c r="AE38" s="14" t="s">
        <v>96</v>
      </c>
      <c r="AH38" s="14" t="s">
        <v>96</v>
      </c>
      <c r="AI38" s="14" t="s">
        <v>96</v>
      </c>
      <c r="AJ38" s="14" t="s">
        <v>96</v>
      </c>
      <c r="AK38" s="14" t="s">
        <v>101</v>
      </c>
      <c r="AL38" s="14" t="s">
        <v>98</v>
      </c>
    </row>
    <row r="39" spans="3:38" x14ac:dyDescent="0.4">
      <c r="C39" s="55" t="str">
        <f t="shared" si="0"/>
        <v/>
      </c>
      <c r="D39" s="151"/>
      <c r="E39" s="112" t="str">
        <f>IF(E37 = "Select", "", E37)</f>
        <v/>
      </c>
      <c r="F39" s="29" t="s">
        <v>90</v>
      </c>
      <c r="G39" s="55" t="s">
        <v>102</v>
      </c>
      <c r="H39" s="251" t="str">
        <f t="shared" si="13"/>
        <v>101-150</v>
      </c>
      <c r="I39" s="29"/>
      <c r="J39" s="29"/>
      <c r="K39" s="169"/>
      <c r="AB39" s="14" t="s">
        <v>143</v>
      </c>
      <c r="AC39" s="20">
        <v>0</v>
      </c>
      <c r="AD39" s="20">
        <v>5.4</v>
      </c>
      <c r="AE39" s="14" t="s">
        <v>97</v>
      </c>
      <c r="AF39" s="14" t="s">
        <v>107</v>
      </c>
      <c r="AH39" s="14" t="s">
        <v>96</v>
      </c>
      <c r="AI39" s="14" t="s">
        <v>96</v>
      </c>
      <c r="AJ39" s="14" t="s">
        <v>96</v>
      </c>
      <c r="AK39" s="14" t="s">
        <v>94</v>
      </c>
      <c r="AL39" s="14" t="s">
        <v>98</v>
      </c>
    </row>
    <row r="40" spans="3:38" x14ac:dyDescent="0.4">
      <c r="C40" s="55" t="str">
        <f t="shared" si="0"/>
        <v/>
      </c>
      <c r="D40" s="151"/>
      <c r="E40" s="112" t="str">
        <f>IF(E37 = "Select", "", E37)</f>
        <v/>
      </c>
      <c r="F40" s="29" t="s">
        <v>90</v>
      </c>
      <c r="G40" s="55" t="s">
        <v>105</v>
      </c>
      <c r="H40" s="251" t="str">
        <f t="shared" si="13"/>
        <v>500+</v>
      </c>
      <c r="I40" s="29"/>
      <c r="J40" s="29"/>
      <c r="K40" s="169"/>
      <c r="AB40" s="14" t="s">
        <v>144</v>
      </c>
      <c r="AC40" s="20">
        <v>16.00001</v>
      </c>
      <c r="AD40" s="20">
        <v>10000000</v>
      </c>
      <c r="AE40" s="14" t="s">
        <v>94</v>
      </c>
      <c r="AF40" s="14" t="s">
        <v>137</v>
      </c>
      <c r="AH40" s="14" t="s">
        <v>96</v>
      </c>
      <c r="AI40" s="14" t="s">
        <v>96</v>
      </c>
      <c r="AJ40" s="14" t="s">
        <v>104</v>
      </c>
      <c r="AK40" s="14" t="s">
        <v>97</v>
      </c>
      <c r="AL40" s="14" t="s">
        <v>98</v>
      </c>
    </row>
    <row r="41" spans="3:38" x14ac:dyDescent="0.4">
      <c r="C41" s="55" t="str">
        <f t="shared" si="0"/>
        <v/>
      </c>
      <c r="D41" s="151"/>
      <c r="E41" s="112" t="str">
        <f>IF(E37 = "Select", "", E37)</f>
        <v/>
      </c>
      <c r="F41" s="206" t="s">
        <v>112</v>
      </c>
      <c r="G41" s="115" t="s">
        <v>91</v>
      </c>
      <c r="H41" s="250" t="str">
        <f t="shared" si="13"/>
        <v>0-30</v>
      </c>
      <c r="I41" s="206"/>
      <c r="J41" s="206"/>
      <c r="K41" s="168"/>
      <c r="AB41" s="14" t="s">
        <v>144</v>
      </c>
      <c r="AC41" s="20">
        <v>12</v>
      </c>
      <c r="AD41" s="20">
        <v>16.00001</v>
      </c>
      <c r="AE41" s="14" t="s">
        <v>101</v>
      </c>
      <c r="AH41" s="14" t="s">
        <v>96</v>
      </c>
      <c r="AI41" s="14" t="s">
        <v>96</v>
      </c>
      <c r="AJ41" s="14" t="s">
        <v>104</v>
      </c>
      <c r="AK41" s="14" t="s">
        <v>96</v>
      </c>
      <c r="AL41" s="14" t="s">
        <v>98</v>
      </c>
    </row>
    <row r="42" spans="3:38" x14ac:dyDescent="0.4">
      <c r="C42" s="55" t="str">
        <f t="shared" si="0"/>
        <v/>
      </c>
      <c r="D42" s="151"/>
      <c r="E42" s="112" t="str">
        <f>IF(E37 = "Select", "", E37)</f>
        <v/>
      </c>
      <c r="F42" s="29" t="s">
        <v>112</v>
      </c>
      <c r="G42" s="55" t="s">
        <v>99</v>
      </c>
      <c r="H42" s="251" t="str">
        <f t="shared" si="13"/>
        <v>31-100</v>
      </c>
      <c r="I42" s="29"/>
      <c r="J42" s="29"/>
      <c r="K42" s="169"/>
      <c r="AB42" s="14" t="s">
        <v>144</v>
      </c>
      <c r="AC42" s="20">
        <v>8</v>
      </c>
      <c r="AD42" s="20">
        <v>12</v>
      </c>
      <c r="AE42" s="14" t="s">
        <v>104</v>
      </c>
      <c r="AH42" s="14" t="s">
        <v>96</v>
      </c>
      <c r="AI42" s="14" t="s">
        <v>96</v>
      </c>
      <c r="AJ42" s="14" t="s">
        <v>104</v>
      </c>
      <c r="AK42" s="14" t="s">
        <v>104</v>
      </c>
      <c r="AL42" s="14" t="s">
        <v>98</v>
      </c>
    </row>
    <row r="43" spans="3:38" x14ac:dyDescent="0.4">
      <c r="C43" s="55" t="str">
        <f t="shared" si="0"/>
        <v/>
      </c>
      <c r="D43" s="151"/>
      <c r="E43" s="112" t="str">
        <f>IF(E37 = "Select", "", E37)</f>
        <v/>
      </c>
      <c r="F43" s="29" t="s">
        <v>112</v>
      </c>
      <c r="G43" s="55" t="s">
        <v>102</v>
      </c>
      <c r="H43" s="251" t="str">
        <f t="shared" si="13"/>
        <v>101-150</v>
      </c>
      <c r="I43" s="29"/>
      <c r="J43" s="29"/>
      <c r="K43" s="169"/>
      <c r="AB43" s="14" t="s">
        <v>144</v>
      </c>
      <c r="AC43" s="20">
        <v>4</v>
      </c>
      <c r="AD43" s="20">
        <v>8</v>
      </c>
      <c r="AE43" s="14" t="s">
        <v>96</v>
      </c>
      <c r="AH43" s="14" t="s">
        <v>96</v>
      </c>
      <c r="AI43" s="14" t="s">
        <v>96</v>
      </c>
      <c r="AJ43" s="14" t="s">
        <v>104</v>
      </c>
      <c r="AK43" s="14" t="s">
        <v>101</v>
      </c>
      <c r="AL43" s="14" t="s">
        <v>98</v>
      </c>
    </row>
    <row r="44" spans="3:38" x14ac:dyDescent="0.4">
      <c r="C44" s="55" t="str">
        <f t="shared" si="0"/>
        <v/>
      </c>
      <c r="D44" s="151"/>
      <c r="E44" s="112" t="str">
        <f>IF(E37 = "Select", "", E37)</f>
        <v/>
      </c>
      <c r="F44" s="207" t="s">
        <v>112</v>
      </c>
      <c r="G44" s="118" t="s">
        <v>105</v>
      </c>
      <c r="H44" s="252" t="str">
        <f t="shared" si="13"/>
        <v>500+</v>
      </c>
      <c r="I44" s="207"/>
      <c r="J44" s="207"/>
      <c r="K44" s="170"/>
      <c r="AB44" s="14" t="s">
        <v>144</v>
      </c>
      <c r="AC44" s="20">
        <v>0</v>
      </c>
      <c r="AD44" s="20">
        <v>4</v>
      </c>
      <c r="AE44" s="14" t="s">
        <v>97</v>
      </c>
      <c r="AF44" s="14" t="s">
        <v>107</v>
      </c>
      <c r="AH44" s="14" t="s">
        <v>96</v>
      </c>
      <c r="AI44" s="14" t="s">
        <v>96</v>
      </c>
      <c r="AJ44" s="14" t="s">
        <v>104</v>
      </c>
      <c r="AK44" s="14" t="s">
        <v>94</v>
      </c>
      <c r="AL44" s="14" t="s">
        <v>98</v>
      </c>
    </row>
    <row r="45" spans="3:38" x14ac:dyDescent="0.4">
      <c r="C45" s="55" t="str">
        <f t="shared" si="0"/>
        <v/>
      </c>
      <c r="D45" s="151"/>
      <c r="E45" s="112" t="str">
        <f>IF(E37 = "Select", "", E37)</f>
        <v/>
      </c>
      <c r="F45" s="29" t="s">
        <v>113</v>
      </c>
      <c r="G45" s="55" t="s">
        <v>91</v>
      </c>
      <c r="H45" s="251" t="str">
        <f t="shared" si="13"/>
        <v>0-30</v>
      </c>
      <c r="I45" s="29"/>
      <c r="J45" s="29"/>
      <c r="K45" s="169"/>
      <c r="AB45" s="14" t="s">
        <v>145</v>
      </c>
      <c r="AC45" s="20">
        <v>20.80001</v>
      </c>
      <c r="AD45" s="20">
        <v>10000000</v>
      </c>
      <c r="AE45" s="14" t="s">
        <v>94</v>
      </c>
      <c r="AF45" s="14" t="s">
        <v>137</v>
      </c>
      <c r="AH45" s="14" t="s">
        <v>96</v>
      </c>
      <c r="AI45" s="14" t="s">
        <v>96</v>
      </c>
      <c r="AJ45" s="14" t="s">
        <v>101</v>
      </c>
      <c r="AK45" s="14" t="s">
        <v>97</v>
      </c>
      <c r="AL45" s="14" t="s">
        <v>98</v>
      </c>
    </row>
    <row r="46" spans="3:38" x14ac:dyDescent="0.4">
      <c r="C46" s="55" t="str">
        <f t="shared" si="0"/>
        <v/>
      </c>
      <c r="D46" s="151"/>
      <c r="E46" s="112" t="str">
        <f>IF(E37 = "Select", "", E37)</f>
        <v/>
      </c>
      <c r="F46" s="29" t="s">
        <v>113</v>
      </c>
      <c r="G46" s="55" t="s">
        <v>99</v>
      </c>
      <c r="H46" s="251" t="str">
        <f t="shared" si="13"/>
        <v>31-100</v>
      </c>
      <c r="I46" s="29"/>
      <c r="J46" s="29"/>
      <c r="K46" s="169"/>
      <c r="AB46" s="14" t="s">
        <v>145</v>
      </c>
      <c r="AC46" s="20">
        <v>9.1999999999999993</v>
      </c>
      <c r="AD46" s="20">
        <v>20.800001000000002</v>
      </c>
      <c r="AE46" s="14" t="s">
        <v>101</v>
      </c>
      <c r="AH46" s="14" t="s">
        <v>96</v>
      </c>
      <c r="AI46" s="14" t="s">
        <v>96</v>
      </c>
      <c r="AJ46" s="14" t="s">
        <v>101</v>
      </c>
      <c r="AK46" s="14" t="s">
        <v>96</v>
      </c>
      <c r="AL46" s="14" t="s">
        <v>98</v>
      </c>
    </row>
    <row r="47" spans="3:38" x14ac:dyDescent="0.4">
      <c r="C47" s="55" t="str">
        <f t="shared" si="0"/>
        <v/>
      </c>
      <c r="D47" s="151"/>
      <c r="E47" s="112" t="str">
        <f>IF(E37 = "Select", "", E37)</f>
        <v/>
      </c>
      <c r="F47" s="29" t="s">
        <v>113</v>
      </c>
      <c r="G47" s="55" t="s">
        <v>102</v>
      </c>
      <c r="H47" s="251" t="str">
        <f t="shared" si="13"/>
        <v>101-150</v>
      </c>
      <c r="I47" s="29"/>
      <c r="J47" s="29"/>
      <c r="K47" s="169"/>
      <c r="AB47" s="14" t="s">
        <v>145</v>
      </c>
      <c r="AC47" s="20">
        <v>5.7</v>
      </c>
      <c r="AD47" s="20">
        <v>9.1999999999999993</v>
      </c>
      <c r="AE47" s="14" t="s">
        <v>104</v>
      </c>
      <c r="AH47" s="14" t="s">
        <v>96</v>
      </c>
      <c r="AI47" s="14" t="s">
        <v>96</v>
      </c>
      <c r="AJ47" s="14" t="s">
        <v>101</v>
      </c>
      <c r="AK47" s="14" t="s">
        <v>104</v>
      </c>
      <c r="AL47" s="14" t="s">
        <v>98</v>
      </c>
    </row>
    <row r="48" spans="3:38" x14ac:dyDescent="0.4">
      <c r="C48" s="55" t="str">
        <f t="shared" si="0"/>
        <v/>
      </c>
      <c r="D48" s="151"/>
      <c r="E48" s="112" t="str">
        <f>IF(E37 = "Select", "", E37)</f>
        <v/>
      </c>
      <c r="F48" s="207" t="s">
        <v>113</v>
      </c>
      <c r="G48" s="118" t="s">
        <v>105</v>
      </c>
      <c r="H48" s="252" t="str">
        <f t="shared" si="13"/>
        <v>500+</v>
      </c>
      <c r="I48" s="207"/>
      <c r="J48" s="207"/>
      <c r="K48" s="170"/>
      <c r="AB48" s="14" t="s">
        <v>145</v>
      </c>
      <c r="AC48" s="20">
        <v>1.9</v>
      </c>
      <c r="AD48" s="20">
        <v>5.7</v>
      </c>
      <c r="AE48" s="14" t="s">
        <v>96</v>
      </c>
      <c r="AH48" s="14" t="s">
        <v>96</v>
      </c>
      <c r="AI48" s="14" t="s">
        <v>96</v>
      </c>
      <c r="AJ48" s="14" t="s">
        <v>101</v>
      </c>
      <c r="AK48" s="14" t="s">
        <v>101</v>
      </c>
      <c r="AL48" s="14" t="s">
        <v>98</v>
      </c>
    </row>
    <row r="49" spans="3:38" x14ac:dyDescent="0.4">
      <c r="C49" s="55" t="str">
        <f t="shared" si="0"/>
        <v/>
      </c>
      <c r="D49" s="151"/>
      <c r="E49" s="112" t="str">
        <f>IF(E37 = "Select", "", E37)</f>
        <v/>
      </c>
      <c r="F49" s="29" t="s">
        <v>118</v>
      </c>
      <c r="G49" s="55" t="s">
        <v>91</v>
      </c>
      <c r="H49" s="251" t="str">
        <f t="shared" si="13"/>
        <v>0-30</v>
      </c>
      <c r="I49" s="29"/>
      <c r="J49" s="29"/>
      <c r="K49" s="169"/>
      <c r="AB49" s="14" t="s">
        <v>145</v>
      </c>
      <c r="AC49" s="20">
        <v>0</v>
      </c>
      <c r="AD49" s="20">
        <v>1.9</v>
      </c>
      <c r="AE49" s="14" t="s">
        <v>97</v>
      </c>
      <c r="AF49" s="14" t="s">
        <v>107</v>
      </c>
      <c r="AH49" s="14" t="s">
        <v>96</v>
      </c>
      <c r="AI49" s="14" t="s">
        <v>96</v>
      </c>
      <c r="AJ49" s="14" t="s">
        <v>101</v>
      </c>
      <c r="AK49" s="14" t="s">
        <v>94</v>
      </c>
      <c r="AL49" s="14" t="s">
        <v>98</v>
      </c>
    </row>
    <row r="50" spans="3:38" x14ac:dyDescent="0.4">
      <c r="C50" s="55" t="str">
        <f t="shared" si="0"/>
        <v/>
      </c>
      <c r="D50" s="151"/>
      <c r="E50" s="112" t="str">
        <f>IF(E37 = "Select", "", E37)</f>
        <v/>
      </c>
      <c r="F50" s="29" t="s">
        <v>118</v>
      </c>
      <c r="G50" s="55" t="s">
        <v>99</v>
      </c>
      <c r="H50" s="251" t="str">
        <f t="shared" si="13"/>
        <v>31-100</v>
      </c>
      <c r="I50" s="29"/>
      <c r="J50" s="29"/>
      <c r="K50" s="169"/>
      <c r="AB50" s="14" t="s">
        <v>146</v>
      </c>
      <c r="AC50" s="20">
        <v>0.67000009999999999</v>
      </c>
      <c r="AD50" s="20">
        <v>10000000</v>
      </c>
      <c r="AE50" s="14" t="s">
        <v>94</v>
      </c>
      <c r="AF50" s="14" t="s">
        <v>137</v>
      </c>
      <c r="AH50" s="14" t="s">
        <v>96</v>
      </c>
      <c r="AI50" s="14" t="s">
        <v>96</v>
      </c>
      <c r="AJ50" s="14" t="s">
        <v>94</v>
      </c>
      <c r="AK50" s="14" t="s">
        <v>97</v>
      </c>
      <c r="AL50" s="14" t="s">
        <v>98</v>
      </c>
    </row>
    <row r="51" spans="3:38" x14ac:dyDescent="0.4">
      <c r="C51" s="55" t="str">
        <f t="shared" si="0"/>
        <v/>
      </c>
      <c r="D51" s="151"/>
      <c r="E51" s="112" t="str">
        <f>IF(E37 = "Select", "", E37)</f>
        <v/>
      </c>
      <c r="F51" s="29" t="s">
        <v>118</v>
      </c>
      <c r="G51" s="55" t="s">
        <v>102</v>
      </c>
      <c r="H51" s="251" t="str">
        <f t="shared" si="13"/>
        <v>101-150</v>
      </c>
      <c r="I51" s="29"/>
      <c r="J51" s="29"/>
      <c r="K51" s="169"/>
      <c r="AB51" s="14" t="s">
        <v>146</v>
      </c>
      <c r="AC51" s="20">
        <v>0.5</v>
      </c>
      <c r="AD51" s="20">
        <v>0.67000009999999999</v>
      </c>
      <c r="AE51" s="14" t="s">
        <v>101</v>
      </c>
      <c r="AH51" s="14" t="s">
        <v>96</v>
      </c>
      <c r="AI51" s="14" t="s">
        <v>96</v>
      </c>
      <c r="AJ51" s="14" t="s">
        <v>94</v>
      </c>
      <c r="AK51" s="14" t="s">
        <v>96</v>
      </c>
      <c r="AL51" s="14" t="s">
        <v>98</v>
      </c>
    </row>
    <row r="52" spans="3:38" x14ac:dyDescent="0.4">
      <c r="C52" s="55" t="str">
        <f t="shared" si="0"/>
        <v/>
      </c>
      <c r="D52" s="151"/>
      <c r="E52" s="113" t="str">
        <f>IF(E37 = "Select", "", E37)</f>
        <v/>
      </c>
      <c r="F52" s="207" t="s">
        <v>118</v>
      </c>
      <c r="G52" s="118" t="s">
        <v>105</v>
      </c>
      <c r="H52" s="252" t="str">
        <f t="shared" si="13"/>
        <v>500+</v>
      </c>
      <c r="I52" s="207"/>
      <c r="J52" s="207"/>
      <c r="K52" s="170"/>
      <c r="AB52" s="14" t="s">
        <v>146</v>
      </c>
      <c r="AC52" s="20">
        <v>0.42</v>
      </c>
      <c r="AD52" s="20">
        <v>0.5</v>
      </c>
      <c r="AE52" s="14" t="s">
        <v>104</v>
      </c>
      <c r="AH52" s="14" t="s">
        <v>96</v>
      </c>
      <c r="AI52" s="14" t="s">
        <v>96</v>
      </c>
      <c r="AJ52" s="14" t="s">
        <v>94</v>
      </c>
      <c r="AK52" s="14" t="s">
        <v>104</v>
      </c>
      <c r="AL52" s="14" t="s">
        <v>98</v>
      </c>
    </row>
    <row r="53" spans="3:38" x14ac:dyDescent="0.4">
      <c r="AB53" s="14" t="s">
        <v>146</v>
      </c>
      <c r="AC53" s="20">
        <v>0.33</v>
      </c>
      <c r="AD53" s="20">
        <v>0.42</v>
      </c>
      <c r="AE53" s="14" t="s">
        <v>96</v>
      </c>
      <c r="AH53" s="14" t="s">
        <v>96</v>
      </c>
      <c r="AI53" s="14" t="s">
        <v>96</v>
      </c>
      <c r="AJ53" s="14" t="s">
        <v>94</v>
      </c>
      <c r="AK53" s="14" t="s">
        <v>101</v>
      </c>
      <c r="AL53" s="14" t="s">
        <v>98</v>
      </c>
    </row>
    <row r="54" spans="3:38" x14ac:dyDescent="0.4">
      <c r="AB54" s="14" t="s">
        <v>146</v>
      </c>
      <c r="AC54" s="20">
        <v>0</v>
      </c>
      <c r="AD54" s="20">
        <v>0.33</v>
      </c>
      <c r="AE54" s="14" t="s">
        <v>97</v>
      </c>
      <c r="AF54" s="14" t="s">
        <v>107</v>
      </c>
      <c r="AH54" s="14" t="s">
        <v>96</v>
      </c>
      <c r="AI54" s="14" t="s">
        <v>96</v>
      </c>
      <c r="AJ54" s="14" t="s">
        <v>94</v>
      </c>
      <c r="AK54" s="14" t="s">
        <v>94</v>
      </c>
      <c r="AL54" s="14" t="s">
        <v>98</v>
      </c>
    </row>
    <row r="55" spans="3:38" x14ac:dyDescent="0.4">
      <c r="D55" s="17" t="s">
        <v>1910</v>
      </c>
      <c r="AB55" s="14" t="s">
        <v>147</v>
      </c>
      <c r="AC55" s="20">
        <v>0.86000010000000005</v>
      </c>
      <c r="AD55" s="20">
        <v>10000000</v>
      </c>
      <c r="AE55" s="14" t="s">
        <v>94</v>
      </c>
      <c r="AF55" s="14" t="s">
        <v>137</v>
      </c>
      <c r="AH55" s="14" t="s">
        <v>96</v>
      </c>
      <c r="AI55" s="14" t="s">
        <v>104</v>
      </c>
      <c r="AJ55" s="14" t="s">
        <v>97</v>
      </c>
      <c r="AK55" s="14" t="s">
        <v>97</v>
      </c>
      <c r="AL55" s="14" t="s">
        <v>98</v>
      </c>
    </row>
    <row r="56" spans="3:38" hidden="1" x14ac:dyDescent="0.4">
      <c r="C56" s="14">
        <v>5.1100000000000003</v>
      </c>
      <c r="D56" s="14">
        <v>5.12</v>
      </c>
      <c r="E56" s="14">
        <v>5.13</v>
      </c>
      <c r="F56" s="14">
        <v>5.14</v>
      </c>
      <c r="G56" s="14">
        <v>5.15</v>
      </c>
      <c r="H56" s="14">
        <v>5.16</v>
      </c>
      <c r="AB56" s="14" t="s">
        <v>147</v>
      </c>
      <c r="AC56" s="20">
        <v>0.68</v>
      </c>
      <c r="AD56" s="20">
        <v>0.86000010000000005</v>
      </c>
      <c r="AE56" s="14" t="s">
        <v>101</v>
      </c>
      <c r="AH56" s="14" t="s">
        <v>96</v>
      </c>
      <c r="AI56" s="14" t="s">
        <v>104</v>
      </c>
      <c r="AJ56" s="14" t="s">
        <v>97</v>
      </c>
      <c r="AK56" s="14" t="s">
        <v>96</v>
      </c>
      <c r="AL56" s="14" t="s">
        <v>98</v>
      </c>
    </row>
    <row r="57" spans="3:38" x14ac:dyDescent="0.4">
      <c r="C57" s="58" t="s">
        <v>40</v>
      </c>
      <c r="D57" s="58" t="s">
        <v>148</v>
      </c>
      <c r="E57" s="58" t="s">
        <v>76</v>
      </c>
      <c r="F57" s="58" t="s">
        <v>120</v>
      </c>
      <c r="G57" s="58" t="s">
        <v>121</v>
      </c>
      <c r="H57" s="58" t="s">
        <v>122</v>
      </c>
      <c r="AB57" s="14" t="s">
        <v>147</v>
      </c>
      <c r="AC57" s="20">
        <v>0.43</v>
      </c>
      <c r="AD57" s="20">
        <v>0.68</v>
      </c>
      <c r="AE57" s="14" t="s">
        <v>104</v>
      </c>
      <c r="AH57" s="14" t="s">
        <v>96</v>
      </c>
      <c r="AI57" s="14" t="s">
        <v>104</v>
      </c>
      <c r="AJ57" s="14" t="s">
        <v>97</v>
      </c>
      <c r="AK57" s="14" t="s">
        <v>104</v>
      </c>
      <c r="AL57" s="14" t="s">
        <v>98</v>
      </c>
    </row>
    <row r="58" spans="3:38" x14ac:dyDescent="0.4">
      <c r="C58" s="66" t="str">
        <f>C5</f>
        <v/>
      </c>
      <c r="D58" s="66" t="str">
        <f>E6</f>
        <v/>
      </c>
      <c r="E58" s="66" t="str">
        <f>G5</f>
        <v>Sampling zone 1</v>
      </c>
      <c r="F58" s="55" t="str">
        <f>IFERROR(AVERAGE(I5:J5,I9:J9,I13:J13,I17:J17),"")</f>
        <v/>
      </c>
      <c r="G58" s="55" t="str" cm="1">
        <f t="array" ref="G58" xml:space="preserve"> IFERROR(INDEX(Table9[EQS category ref], MATCH(1, (Table56[[#This Row],[Biotic indicator]]=Table9[Biotic index ref])*(Table56[[#This Row],[Avg. indicator value]]&gt;=Table9[Equal or larger than (x≥)])*(Table56[[#This Row],[Avg. indicator value]]&lt;Table9[smaller than (x&lt;)]),0)),"")</f>
        <v/>
      </c>
      <c r="H58" s="55" t="str" cm="1">
        <f t="array" ref="H58">IFERROR(_xlfn.IFS(Table56[[#This Row],[EQS category]]="Bad",5, Table56[[#This Row],[EQS category]]="Poor",4, Table56[[#This Row],[EQS category]]="Moderate",3, Table56[[#This Row],[EQS category]]="Good",2, Table56[[#This Row],[EQS category]]="High",1),"")</f>
        <v/>
      </c>
      <c r="AB58" s="14" t="s">
        <v>147</v>
      </c>
      <c r="AC58" s="20">
        <v>0.2</v>
      </c>
      <c r="AD58" s="20">
        <v>0.43</v>
      </c>
      <c r="AE58" s="14" t="s">
        <v>96</v>
      </c>
      <c r="AH58" s="14" t="s">
        <v>96</v>
      </c>
      <c r="AI58" s="14" t="s">
        <v>104</v>
      </c>
      <c r="AJ58" s="14" t="s">
        <v>97</v>
      </c>
      <c r="AK58" s="14" t="s">
        <v>101</v>
      </c>
      <c r="AL58" s="14" t="s">
        <v>98</v>
      </c>
    </row>
    <row r="59" spans="3:38" x14ac:dyDescent="0.4">
      <c r="C59" s="66" t="str">
        <f>C21</f>
        <v/>
      </c>
      <c r="D59" s="66" t="str">
        <f>E22</f>
        <v/>
      </c>
      <c r="E59" s="66" t="str">
        <f>G21</f>
        <v>Sampling zone 1</v>
      </c>
      <c r="F59" s="55" t="str">
        <f>IFERROR(AVERAGE(I21:J21,I25:J25,I29:J29,I33:J33),"")</f>
        <v/>
      </c>
      <c r="G59" s="55" t="str" cm="1">
        <f t="array" ref="G59" xml:space="preserve"> IFERROR(INDEX(Table9[EQS category ref], MATCH(1, (Table56[[#This Row],[Biotic indicator]]=Table9[Biotic index ref])*(Table56[[#This Row],[Avg. indicator value]]&gt;=Table9[Equal or larger than (x≥)])*(Table56[[#This Row],[Avg. indicator value]]&lt;Table9[smaller than (x&lt;)]),0)),"")</f>
        <v/>
      </c>
      <c r="H59" s="55" t="str" cm="1">
        <f t="array" ref="H59">IFERROR(_xlfn.IFS(Table56[[#This Row],[EQS category]]="Bad",5, Table56[[#This Row],[EQS category]]="Poor",4, Table56[[#This Row],[EQS category]]="Moderate",3, Table56[[#This Row],[EQS category]]="Good",2, Table56[[#This Row],[EQS category]]="High",1),"")</f>
        <v/>
      </c>
      <c r="AB59" s="14" t="s">
        <v>147</v>
      </c>
      <c r="AC59" s="20">
        <v>0</v>
      </c>
      <c r="AD59" s="20">
        <v>0.2</v>
      </c>
      <c r="AE59" s="14" t="s">
        <v>97</v>
      </c>
      <c r="AF59" s="14" t="s">
        <v>107</v>
      </c>
      <c r="AH59" s="14" t="s">
        <v>96</v>
      </c>
      <c r="AI59" s="14" t="s">
        <v>104</v>
      </c>
      <c r="AJ59" s="14" t="s">
        <v>97</v>
      </c>
      <c r="AK59" s="14" t="s">
        <v>94</v>
      </c>
      <c r="AL59" s="14" t="s">
        <v>98</v>
      </c>
    </row>
    <row r="60" spans="3:38" x14ac:dyDescent="0.4">
      <c r="C60" s="66" t="str">
        <f>C37</f>
        <v/>
      </c>
      <c r="D60" s="66" t="str">
        <f>E38</f>
        <v/>
      </c>
      <c r="E60" s="66" t="str">
        <f>G37</f>
        <v>Sampling zone 1</v>
      </c>
      <c r="F60" s="55" t="str">
        <f>IFERROR(AVERAGE(I37:J37,I41:J41,I45:J45,I49:J49),"")</f>
        <v/>
      </c>
      <c r="G60" s="55" t="str" cm="1">
        <f t="array" ref="G60" xml:space="preserve"> IFERROR(INDEX(Table9[EQS category ref], MATCH(1, (Table56[[#This Row],[Biotic indicator]]=Table9[Biotic index ref])*(Table56[[#This Row],[Avg. indicator value]]&gt;=Table9[Equal or larger than (x≥)])*(Table56[[#This Row],[Avg. indicator value]]&lt;Table9[smaller than (x&lt;)]),0)),"")</f>
        <v/>
      </c>
      <c r="H60" s="55" t="str" cm="1">
        <f t="array" ref="H60">IFERROR(_xlfn.IFS(Table56[[#This Row],[EQS category]]="Bad",5, Table56[[#This Row],[EQS category]]="Poor",4, Table56[[#This Row],[EQS category]]="Moderate",3, Table56[[#This Row],[EQS category]]="Good",2, Table56[[#This Row],[EQS category]]="High",1),"")</f>
        <v/>
      </c>
      <c r="AB60" s="14" t="s">
        <v>149</v>
      </c>
      <c r="AC60" s="20">
        <v>27.400001</v>
      </c>
      <c r="AD60" s="20">
        <v>10000000</v>
      </c>
      <c r="AE60" s="14" t="s">
        <v>94</v>
      </c>
      <c r="AF60" s="14" t="s">
        <v>137</v>
      </c>
      <c r="AH60" s="14" t="s">
        <v>96</v>
      </c>
      <c r="AI60" s="14" t="s">
        <v>104</v>
      </c>
      <c r="AJ60" s="14" t="s">
        <v>96</v>
      </c>
      <c r="AK60" s="14" t="s">
        <v>97</v>
      </c>
      <c r="AL60" s="14" t="s">
        <v>98</v>
      </c>
    </row>
    <row r="61" spans="3:38" x14ac:dyDescent="0.4">
      <c r="C61" s="66" t="str">
        <f>C6</f>
        <v/>
      </c>
      <c r="D61" s="66" t="str">
        <f>E6</f>
        <v/>
      </c>
      <c r="E61" s="66" t="str">
        <f>G6</f>
        <v>Sampling zone 2</v>
      </c>
      <c r="F61" s="55" t="str">
        <f>IFERROR(AVERAGE(I6:J6,I10:J10,I14:J14,I18:J18),"")</f>
        <v/>
      </c>
      <c r="G61" s="55" t="str" cm="1">
        <f t="array" ref="G61" xml:space="preserve"> IFERROR(INDEX(Table9[EQS category ref], MATCH(1, (Table56[[#This Row],[Biotic indicator]]=Table9[Biotic index ref])*(Table56[[#This Row],[Avg. indicator value]]&gt;=Table9[Equal or larger than (x≥)])*(Table56[[#This Row],[Avg. indicator value]]&lt;Table9[smaller than (x&lt;)]),0)),"")</f>
        <v/>
      </c>
      <c r="H61" s="55" t="str" cm="1">
        <f t="array" ref="H61">IFERROR(_xlfn.IFS(Table56[[#This Row],[EQS category]]="Bad",5, Table56[[#This Row],[EQS category]]="Poor",4, Table56[[#This Row],[EQS category]]="Moderate",3, Table56[[#This Row],[EQS category]]="Good",2, Table56[[#This Row],[EQS category]]="High",1),"")</f>
        <v/>
      </c>
      <c r="AB61" s="14" t="s">
        <v>149</v>
      </c>
      <c r="AC61" s="20">
        <v>23.1</v>
      </c>
      <c r="AD61" s="20">
        <v>27.400001</v>
      </c>
      <c r="AE61" s="14" t="s">
        <v>101</v>
      </c>
      <c r="AH61" s="14" t="s">
        <v>96</v>
      </c>
      <c r="AI61" s="14" t="s">
        <v>104</v>
      </c>
      <c r="AJ61" s="14" t="s">
        <v>96</v>
      </c>
      <c r="AK61" s="14" t="s">
        <v>96</v>
      </c>
      <c r="AL61" s="14" t="s">
        <v>98</v>
      </c>
    </row>
    <row r="62" spans="3:38" x14ac:dyDescent="0.4">
      <c r="C62" s="66" t="str">
        <f>C22</f>
        <v/>
      </c>
      <c r="D62" s="66" t="str">
        <f>E22</f>
        <v/>
      </c>
      <c r="E62" s="66" t="str">
        <f>G22</f>
        <v>Sampling zone 2</v>
      </c>
      <c r="F62" s="55" t="str">
        <f>IFERROR(AVERAGE(I22:J22,I26:J26,I30:J30,I34:J34),"")</f>
        <v/>
      </c>
      <c r="G62" s="55" t="str" cm="1">
        <f t="array" ref="G62" xml:space="preserve"> IFERROR(INDEX(Table9[EQS category ref], MATCH(1, (Table56[[#This Row],[Biotic indicator]]=Table9[Biotic index ref])*(Table56[[#This Row],[Avg. indicator value]]&gt;=Table9[Equal or larger than (x≥)])*(Table56[[#This Row],[Avg. indicator value]]&lt;Table9[smaller than (x&lt;)]),0)),"")</f>
        <v/>
      </c>
      <c r="H62" s="55" t="str" cm="1">
        <f t="array" ref="H62">IFERROR(_xlfn.IFS(Table56[[#This Row],[EQS category]]="Bad",5, Table56[[#This Row],[EQS category]]="Poor",4, Table56[[#This Row],[EQS category]]="Moderate",3, Table56[[#This Row],[EQS category]]="Good",2, Table56[[#This Row],[EQS category]]="High",1),"")</f>
        <v/>
      </c>
      <c r="AB62" s="14" t="s">
        <v>149</v>
      </c>
      <c r="AC62" s="20">
        <v>18.8</v>
      </c>
      <c r="AD62" s="20">
        <v>23.1</v>
      </c>
      <c r="AE62" s="14" t="s">
        <v>104</v>
      </c>
      <c r="AH62" s="14" t="s">
        <v>96</v>
      </c>
      <c r="AI62" s="14" t="s">
        <v>104</v>
      </c>
      <c r="AJ62" s="14" t="s">
        <v>96</v>
      </c>
      <c r="AK62" s="14" t="s">
        <v>104</v>
      </c>
      <c r="AL62" s="14" t="s">
        <v>98</v>
      </c>
    </row>
    <row r="63" spans="3:38" x14ac:dyDescent="0.4">
      <c r="C63" s="66" t="str">
        <f>C38</f>
        <v/>
      </c>
      <c r="D63" s="66" t="str">
        <f>E38</f>
        <v/>
      </c>
      <c r="E63" s="66" t="str">
        <f>G38</f>
        <v>Sampling zone 2</v>
      </c>
      <c r="F63" s="55" t="str">
        <f>IFERROR(AVERAGE(I38:J38,I42:J42,I46:J46,I50:J50),"")</f>
        <v/>
      </c>
      <c r="G63" s="55" t="str" cm="1">
        <f t="array" ref="G63" xml:space="preserve"> IFERROR(INDEX(Table9[EQS category ref], MATCH(1, (Table56[[#This Row],[Biotic indicator]]=Table9[Biotic index ref])*(Table56[[#This Row],[Avg. indicator value]]&gt;=Table9[Equal or larger than (x≥)])*(Table56[[#This Row],[Avg. indicator value]]&lt;Table9[smaller than (x&lt;)]),0)),"")</f>
        <v/>
      </c>
      <c r="H63" s="55" t="str" cm="1">
        <f t="array" ref="H63">IFERROR(_xlfn.IFS(Table56[[#This Row],[EQS category]]="Bad",5, Table56[[#This Row],[EQS category]]="Poor",4, Table56[[#This Row],[EQS category]]="Moderate",3, Table56[[#This Row],[EQS category]]="Good",2, Table56[[#This Row],[EQS category]]="High",1),"")</f>
        <v/>
      </c>
      <c r="AB63" s="14" t="s">
        <v>149</v>
      </c>
      <c r="AC63" s="20">
        <v>10.4</v>
      </c>
      <c r="AD63" s="20">
        <v>18.8</v>
      </c>
      <c r="AE63" s="14" t="s">
        <v>96</v>
      </c>
      <c r="AH63" s="14" t="s">
        <v>96</v>
      </c>
      <c r="AI63" s="14" t="s">
        <v>104</v>
      </c>
      <c r="AJ63" s="14" t="s">
        <v>96</v>
      </c>
      <c r="AK63" s="14" t="s">
        <v>101</v>
      </c>
      <c r="AL63" s="14" t="s">
        <v>98</v>
      </c>
    </row>
    <row r="64" spans="3:38" x14ac:dyDescent="0.4">
      <c r="C64" s="66" t="str">
        <f>C7</f>
        <v/>
      </c>
      <c r="D64" s="66" t="str">
        <f>E7</f>
        <v/>
      </c>
      <c r="E64" s="66" t="str">
        <f>G7</f>
        <v>Sampling zone 3</v>
      </c>
      <c r="F64" s="55" t="str">
        <f>IFERROR(AVERAGE(I7:J7,I11:J11,I15:J15,I19:J19),"")</f>
        <v/>
      </c>
      <c r="G64" s="55" t="str" cm="1">
        <f t="array" ref="G64" xml:space="preserve"> IFERROR(INDEX(Table9[EQS category ref], MATCH(1, (Table56[[#This Row],[Biotic indicator]]=Table9[Biotic index ref])*(Table56[[#This Row],[Avg. indicator value]]&gt;=Table9[Equal or larger than (x≥)])*(Table56[[#This Row],[Avg. indicator value]]&lt;Table9[smaller than (x&lt;)]),0)),"")</f>
        <v/>
      </c>
      <c r="H64" s="55" t="str" cm="1">
        <f t="array" ref="H64">IFERROR(_xlfn.IFS(Table56[[#This Row],[EQS category]]="Bad",5, Table56[[#This Row],[EQS category]]="Poor",4, Table56[[#This Row],[EQS category]]="Moderate",3, Table56[[#This Row],[EQS category]]="Good",2, Table56[[#This Row],[EQS category]]="High",1),"")</f>
        <v/>
      </c>
      <c r="AB64" s="14" t="s">
        <v>149</v>
      </c>
      <c r="AC64" s="20">
        <v>0</v>
      </c>
      <c r="AD64" s="20">
        <v>10.4</v>
      </c>
      <c r="AE64" s="14" t="s">
        <v>97</v>
      </c>
      <c r="AF64" s="14" t="s">
        <v>107</v>
      </c>
      <c r="AH64" s="14" t="s">
        <v>96</v>
      </c>
      <c r="AI64" s="14" t="s">
        <v>104</v>
      </c>
      <c r="AJ64" s="14" t="s">
        <v>96</v>
      </c>
      <c r="AK64" s="14" t="s">
        <v>94</v>
      </c>
      <c r="AL64" s="14" t="s">
        <v>98</v>
      </c>
    </row>
    <row r="65" spans="3:38" x14ac:dyDescent="0.4">
      <c r="C65" s="66" t="str">
        <f>C23</f>
        <v/>
      </c>
      <c r="D65" s="66" t="str">
        <f>E23</f>
        <v/>
      </c>
      <c r="E65" s="66" t="str">
        <f>G23</f>
        <v>Sampling zone 3</v>
      </c>
      <c r="F65" s="55" t="str">
        <f>IFERROR(AVERAGE(I23:J23,I27:J27,I31:J31,I35:J35),"")</f>
        <v/>
      </c>
      <c r="G65" s="55" t="str" cm="1">
        <f t="array" ref="G65" xml:space="preserve"> IFERROR(INDEX(Table9[EQS category ref], MATCH(1, (Table56[[#This Row],[Biotic indicator]]=Table9[Biotic index ref])*(Table56[[#This Row],[Avg. indicator value]]&gt;=Table9[Equal or larger than (x≥)])*(Table56[[#This Row],[Avg. indicator value]]&lt;Table9[smaller than (x&lt;)]),0)),"")</f>
        <v/>
      </c>
      <c r="H65" s="55" t="str" cm="1">
        <f t="array" ref="H65">IFERROR(_xlfn.IFS(Table56[[#This Row],[EQS category]]="Bad",5, Table56[[#This Row],[EQS category]]="Poor",4, Table56[[#This Row],[EQS category]]="Moderate",3, Table56[[#This Row],[EQS category]]="Good",2, Table56[[#This Row],[EQS category]]="High",1),"")</f>
        <v/>
      </c>
      <c r="AB65" s="14" t="s">
        <v>150</v>
      </c>
      <c r="AC65" s="20">
        <v>9.6000010000000007</v>
      </c>
      <c r="AD65" s="20">
        <v>10000000</v>
      </c>
      <c r="AE65" s="14" t="s">
        <v>94</v>
      </c>
      <c r="AF65" s="14" t="s">
        <v>137</v>
      </c>
      <c r="AH65" s="14" t="s">
        <v>96</v>
      </c>
      <c r="AI65" s="14" t="s">
        <v>104</v>
      </c>
      <c r="AJ65" s="14" t="s">
        <v>104</v>
      </c>
      <c r="AK65" s="14" t="s">
        <v>97</v>
      </c>
      <c r="AL65" s="14" t="s">
        <v>98</v>
      </c>
    </row>
    <row r="66" spans="3:38" x14ac:dyDescent="0.4">
      <c r="C66" s="66" t="str">
        <f>C39</f>
        <v/>
      </c>
      <c r="D66" s="66" t="str">
        <f>E39</f>
        <v/>
      </c>
      <c r="E66" s="66" t="str">
        <f>G39</f>
        <v>Sampling zone 3</v>
      </c>
      <c r="F66" s="55" t="str">
        <f>IFERROR(AVERAGE(I39:J39,I43:J43,I47:J47,I51:J51),"")</f>
        <v/>
      </c>
      <c r="G66" s="55" t="str" cm="1">
        <f t="array" ref="G66" xml:space="preserve"> IFERROR(INDEX(Table9[EQS category ref], MATCH(1, (Table56[[#This Row],[Biotic indicator]]=Table9[Biotic index ref])*(Table56[[#This Row],[Avg. indicator value]]&gt;=Table9[Equal or larger than (x≥)])*(Table56[[#This Row],[Avg. indicator value]]&lt;Table9[smaller than (x&lt;)]),0)),"")</f>
        <v/>
      </c>
      <c r="H66" s="55" t="str" cm="1">
        <f t="array" ref="H66">IFERROR(_xlfn.IFS(Table56[[#This Row],[EQS category]]="Bad",5, Table56[[#This Row],[EQS category]]="Poor",4, Table56[[#This Row],[EQS category]]="Moderate",3, Table56[[#This Row],[EQS category]]="Good",2, Table56[[#This Row],[EQS category]]="High",1),"")</f>
        <v/>
      </c>
      <c r="AB66" s="14" t="s">
        <v>150</v>
      </c>
      <c r="AC66" s="20">
        <v>7.5</v>
      </c>
      <c r="AD66" s="20">
        <v>9.6000010000000007</v>
      </c>
      <c r="AE66" s="14" t="s">
        <v>101</v>
      </c>
      <c r="AH66" s="14" t="s">
        <v>96</v>
      </c>
      <c r="AI66" s="14" t="s">
        <v>104</v>
      </c>
      <c r="AJ66" s="14" t="s">
        <v>104</v>
      </c>
      <c r="AK66" s="14" t="s">
        <v>96</v>
      </c>
      <c r="AL66" s="14" t="s">
        <v>98</v>
      </c>
    </row>
    <row r="67" spans="3:38" x14ac:dyDescent="0.4">
      <c r="C67" s="66" t="str">
        <f>C8</f>
        <v/>
      </c>
      <c r="D67" s="66" t="str">
        <f>E8</f>
        <v/>
      </c>
      <c r="E67" s="66" t="str">
        <f>G8</f>
        <v>Reference zone</v>
      </c>
      <c r="F67" s="55" t="str">
        <f>IFERROR(AVERAGE(I8:J8,I12:J12,I16:J16,I20:J20),"")</f>
        <v/>
      </c>
      <c r="G67" s="55" t="str" cm="1">
        <f t="array" ref="G67" xml:space="preserve"> IFERROR(INDEX(Table9[EQS category ref], MATCH(1, (Table56[[#This Row],[Biotic indicator]]=Table9[Biotic index ref])*(Table56[[#This Row],[Avg. indicator value]]&gt;=Table9[Equal or larger than (x≥)])*(Table56[[#This Row],[Avg. indicator value]]&lt;Table9[smaller than (x&lt;)]),0)),"")</f>
        <v/>
      </c>
      <c r="H67" s="55" t="str" cm="1">
        <f t="array" ref="H67">IFERROR(_xlfn.IFS(Table56[[#This Row],[EQS category]]="Bad",5, Table56[[#This Row],[EQS category]]="Poor",4, Table56[[#This Row],[EQS category]]="Moderate",3, Table56[[#This Row],[EQS category]]="Good",2, Table56[[#This Row],[EQS category]]="High",1),"")</f>
        <v/>
      </c>
      <c r="AB67" s="14" t="s">
        <v>150</v>
      </c>
      <c r="AC67" s="20">
        <v>6.2</v>
      </c>
      <c r="AD67" s="20">
        <v>7.5</v>
      </c>
      <c r="AE67" s="14" t="s">
        <v>104</v>
      </c>
      <c r="AH67" s="14" t="s">
        <v>96</v>
      </c>
      <c r="AI67" s="14" t="s">
        <v>104</v>
      </c>
      <c r="AJ67" s="14" t="s">
        <v>104</v>
      </c>
      <c r="AK67" s="14" t="s">
        <v>104</v>
      </c>
      <c r="AL67" s="14" t="s">
        <v>98</v>
      </c>
    </row>
    <row r="68" spans="3:38" x14ac:dyDescent="0.4">
      <c r="C68" s="66" t="str">
        <f>C24</f>
        <v/>
      </c>
      <c r="D68" s="66" t="str">
        <f>E24</f>
        <v/>
      </c>
      <c r="E68" s="66" t="str">
        <f>G24</f>
        <v>Reference zone</v>
      </c>
      <c r="F68" s="55" t="str">
        <f>IFERROR(AVERAGE(I24:J24,I28:J28,I32:J32,I36:J36),"")</f>
        <v/>
      </c>
      <c r="G68" s="55" t="str" cm="1">
        <f t="array" ref="G68" xml:space="preserve"> IFERROR(INDEX(Table9[EQS category ref], MATCH(1, (Table56[[#This Row],[Biotic indicator]]=Table9[Biotic index ref])*(Table56[[#This Row],[Avg. indicator value]]&gt;=Table9[Equal or larger than (x≥)])*(Table56[[#This Row],[Avg. indicator value]]&lt;Table9[smaller than (x&lt;)]),0)),"")</f>
        <v/>
      </c>
      <c r="H68" s="55" t="str" cm="1">
        <f t="array" ref="H68">IFERROR(_xlfn.IFS(Table56[[#This Row],[EQS category]]="Bad",5, Table56[[#This Row],[EQS category]]="Poor",4, Table56[[#This Row],[EQS category]]="Moderate",3, Table56[[#This Row],[EQS category]]="Good",2, Table56[[#This Row],[EQS category]]="High",1),"")</f>
        <v/>
      </c>
      <c r="AB68" s="14" t="s">
        <v>150</v>
      </c>
      <c r="AC68" s="20">
        <v>4.5</v>
      </c>
      <c r="AD68" s="20">
        <v>6.2</v>
      </c>
      <c r="AE68" s="14" t="s">
        <v>96</v>
      </c>
      <c r="AH68" s="14" t="s">
        <v>96</v>
      </c>
      <c r="AI68" s="14" t="s">
        <v>104</v>
      </c>
      <c r="AJ68" s="14" t="s">
        <v>104</v>
      </c>
      <c r="AK68" s="14" t="s">
        <v>101</v>
      </c>
      <c r="AL68" s="14" t="s">
        <v>98</v>
      </c>
    </row>
    <row r="69" spans="3:38" x14ac:dyDescent="0.4">
      <c r="C69" s="66" t="str">
        <f>C40</f>
        <v/>
      </c>
      <c r="D69" s="66" t="str">
        <f>E40</f>
        <v/>
      </c>
      <c r="E69" s="66" t="str">
        <f>G40</f>
        <v>Reference zone</v>
      </c>
      <c r="F69" s="55" t="str">
        <f>IFERROR(AVERAGE(I40:J40,I44:J44,I48:J48,I52:J52),"")</f>
        <v/>
      </c>
      <c r="G69" s="55" t="str" cm="1">
        <f t="array" ref="G69" xml:space="preserve"> IFERROR(INDEX(Table9[EQS category ref], MATCH(1, (Table56[[#This Row],[Biotic indicator]]=Table9[Biotic index ref])*(Table56[[#This Row],[Avg. indicator value]]&gt;=Table9[Equal or larger than (x≥)])*(Table56[[#This Row],[Avg. indicator value]]&lt;Table9[smaller than (x&lt;)]),0)),"")</f>
        <v/>
      </c>
      <c r="H69" s="55" t="str" cm="1">
        <f t="array" ref="H69">IFERROR(_xlfn.IFS(Table56[[#This Row],[EQS category]]="Bad",5, Table56[[#This Row],[EQS category]]="Poor",4, Table56[[#This Row],[EQS category]]="Moderate",3, Table56[[#This Row],[EQS category]]="Good",2, Table56[[#This Row],[EQS category]]="High",1),"")</f>
        <v/>
      </c>
      <c r="AB69" s="14" t="s">
        <v>150</v>
      </c>
      <c r="AC69" s="20">
        <v>0</v>
      </c>
      <c r="AD69" s="20">
        <v>4.5</v>
      </c>
      <c r="AE69" s="14" t="s">
        <v>97</v>
      </c>
      <c r="AF69" s="14" t="s">
        <v>107</v>
      </c>
      <c r="AH69" s="14" t="s">
        <v>96</v>
      </c>
      <c r="AI69" s="14" t="s">
        <v>104</v>
      </c>
      <c r="AJ69" s="14" t="s">
        <v>104</v>
      </c>
      <c r="AK69" s="14" t="s">
        <v>94</v>
      </c>
      <c r="AL69" s="14" t="s">
        <v>98</v>
      </c>
    </row>
    <row r="70" spans="3:38" x14ac:dyDescent="0.4">
      <c r="AB70" s="14" t="s">
        <v>151</v>
      </c>
      <c r="AC70" s="20">
        <v>0</v>
      </c>
      <c r="AD70" s="20">
        <v>2</v>
      </c>
      <c r="AE70" s="14" t="s">
        <v>94</v>
      </c>
      <c r="AF70" s="14" t="s">
        <v>152</v>
      </c>
      <c r="AH70" s="14" t="s">
        <v>96</v>
      </c>
      <c r="AI70" s="14" t="s">
        <v>104</v>
      </c>
      <c r="AJ70" s="14" t="s">
        <v>101</v>
      </c>
      <c r="AK70" s="14" t="s">
        <v>97</v>
      </c>
      <c r="AL70" s="14" t="s">
        <v>98</v>
      </c>
    </row>
    <row r="71" spans="3:38" x14ac:dyDescent="0.4">
      <c r="D71" s="17" t="s">
        <v>153</v>
      </c>
      <c r="AB71" s="14" t="s">
        <v>151</v>
      </c>
      <c r="AC71" s="20">
        <v>2</v>
      </c>
      <c r="AD71" s="20">
        <v>3</v>
      </c>
      <c r="AE71" s="14" t="s">
        <v>101</v>
      </c>
      <c r="AH71" s="14" t="s">
        <v>96</v>
      </c>
      <c r="AI71" s="14" t="s">
        <v>104</v>
      </c>
      <c r="AJ71" s="14" t="s">
        <v>101</v>
      </c>
      <c r="AK71" s="14" t="s">
        <v>96</v>
      </c>
      <c r="AL71" s="14" t="s">
        <v>98</v>
      </c>
    </row>
    <row r="72" spans="3:38" hidden="1" x14ac:dyDescent="0.4">
      <c r="C72" s="14">
        <v>5.17</v>
      </c>
      <c r="D72" s="14">
        <v>5.18</v>
      </c>
      <c r="E72" s="14">
        <v>5.19</v>
      </c>
      <c r="F72" s="14">
        <v>5.21</v>
      </c>
      <c r="AB72" s="14" t="s">
        <v>151</v>
      </c>
      <c r="AC72" s="20">
        <v>3</v>
      </c>
      <c r="AD72" s="20">
        <v>4</v>
      </c>
      <c r="AE72" s="14" t="s">
        <v>104</v>
      </c>
      <c r="AH72" s="14" t="s">
        <v>96</v>
      </c>
      <c r="AI72" s="14" t="s">
        <v>104</v>
      </c>
      <c r="AJ72" s="14" t="s">
        <v>101</v>
      </c>
      <c r="AK72" s="14" t="s">
        <v>104</v>
      </c>
      <c r="AL72" s="14" t="s">
        <v>98</v>
      </c>
    </row>
    <row r="73" spans="3:38" ht="34.200000000000003" thickBot="1" x14ac:dyDescent="0.45">
      <c r="C73" s="101" t="s">
        <v>124</v>
      </c>
      <c r="D73" s="101" t="s">
        <v>76</v>
      </c>
      <c r="E73" s="101" t="s">
        <v>125</v>
      </c>
      <c r="F73" s="127" t="s">
        <v>126</v>
      </c>
      <c r="AB73" s="14" t="s">
        <v>151</v>
      </c>
      <c r="AC73" s="20">
        <v>4</v>
      </c>
      <c r="AD73" s="20">
        <v>6</v>
      </c>
      <c r="AE73" s="14" t="s">
        <v>96</v>
      </c>
      <c r="AH73" s="14" t="s">
        <v>96</v>
      </c>
      <c r="AI73" s="14" t="s">
        <v>104</v>
      </c>
      <c r="AJ73" s="14" t="s">
        <v>101</v>
      </c>
      <c r="AK73" s="14" t="s">
        <v>101</v>
      </c>
      <c r="AL73" s="14" t="s">
        <v>98</v>
      </c>
    </row>
    <row r="74" spans="3:38" ht="17.399999999999999" thickTop="1" x14ac:dyDescent="0.4">
      <c r="C74" s="93" t="str">
        <f t="shared" ref="C74:C77" si="14">C58</f>
        <v/>
      </c>
      <c r="D74" s="55" t="str">
        <f>E58</f>
        <v>Sampling zone 1</v>
      </c>
      <c r="E74" s="75" t="str">
        <f>IFERROR((H58+H59+H60)/3, "")</f>
        <v/>
      </c>
      <c r="F74" s="103" t="str" cm="1">
        <f t="array" ref="F74" xml:space="preserve"> IFERROR(INDEX(Table204[EQS category ref], MATCH(1,(Table57[[#This Row],[Zone EQS score]]&gt;Table204[Larger than])*(Table57[[#This Row],[Zone EQS score]]&lt;=Table204[Equal or smaller than]),0)),"")</f>
        <v/>
      </c>
      <c r="AB74" s="14" t="s">
        <v>151</v>
      </c>
      <c r="AC74" s="20">
        <v>6</v>
      </c>
      <c r="AD74" s="20">
        <v>1000</v>
      </c>
      <c r="AE74" s="14" t="s">
        <v>97</v>
      </c>
      <c r="AF74" s="14" t="s">
        <v>137</v>
      </c>
      <c r="AH74" s="14" t="s">
        <v>96</v>
      </c>
      <c r="AI74" s="14" t="s">
        <v>104</v>
      </c>
      <c r="AJ74" s="14" t="s">
        <v>101</v>
      </c>
      <c r="AK74" s="14" t="s">
        <v>94</v>
      </c>
      <c r="AL74" s="14" t="s">
        <v>98</v>
      </c>
    </row>
    <row r="75" spans="3:38" x14ac:dyDescent="0.4">
      <c r="C75" s="93" t="str">
        <f t="shared" si="14"/>
        <v/>
      </c>
      <c r="D75" s="55" t="str">
        <f>E61</f>
        <v>Sampling zone 2</v>
      </c>
      <c r="E75" s="75" t="str">
        <f>IFERROR((H61+H62+H63)/3, "")</f>
        <v/>
      </c>
      <c r="F75" s="103" t="str" cm="1">
        <f t="array" ref="F75" xml:space="preserve"> IFERROR(INDEX(Table204[EQS category ref], MATCH(1,(Table57[[#This Row],[Zone EQS score]]&gt;Table204[Larger than])*(Table57[[#This Row],[Zone EQS score]]&lt;=Table204[Equal or smaller than]),0)),"")</f>
        <v/>
      </c>
      <c r="AH75" s="14" t="s">
        <v>96</v>
      </c>
      <c r="AI75" s="14" t="s">
        <v>104</v>
      </c>
      <c r="AJ75" s="14" t="s">
        <v>94</v>
      </c>
      <c r="AK75" s="14" t="s">
        <v>97</v>
      </c>
      <c r="AL75" s="14" t="s">
        <v>98</v>
      </c>
    </row>
    <row r="76" spans="3:38" x14ac:dyDescent="0.4">
      <c r="C76" s="93" t="str">
        <f t="shared" si="14"/>
        <v/>
      </c>
      <c r="D76" s="55" t="str">
        <f>E64</f>
        <v>Sampling zone 3</v>
      </c>
      <c r="E76" s="75" t="str">
        <f>IFERROR((H64+H65+H66)/3, "")</f>
        <v/>
      </c>
      <c r="F76" s="103" t="str" cm="1">
        <f t="array" ref="F76" xml:space="preserve"> IFERROR(INDEX(Table204[EQS category ref], MATCH(1,(Table57[[#This Row],[Zone EQS score]]&gt;Table204[Larger than])*(Table57[[#This Row],[Zone EQS score]]&lt;=Table204[Equal or smaller than]),0)),"")</f>
        <v/>
      </c>
      <c r="AB76" s="17" t="s">
        <v>114</v>
      </c>
      <c r="AH76" s="14" t="s">
        <v>96</v>
      </c>
      <c r="AI76" s="14" t="s">
        <v>104</v>
      </c>
      <c r="AJ76" s="14" t="s">
        <v>94</v>
      </c>
      <c r="AK76" s="14" t="s">
        <v>96</v>
      </c>
      <c r="AL76" s="14" t="s">
        <v>98</v>
      </c>
    </row>
    <row r="77" spans="3:38" x14ac:dyDescent="0.4">
      <c r="C77" s="93" t="str">
        <f t="shared" si="14"/>
        <v/>
      </c>
      <c r="D77" s="55" t="str">
        <f>E67</f>
        <v>Reference zone</v>
      </c>
      <c r="E77" s="75" t="str">
        <f>IFERROR((H67+H68+H69)/3, "")</f>
        <v/>
      </c>
      <c r="F77" s="103" t="str" cm="1">
        <f t="array" ref="F77" xml:space="preserve"> IFERROR(INDEX(Table204[EQS category ref], MATCH(1,(Table57[[#This Row],[Zone EQS score]]&gt;Table204[Larger than])*(Table57[[#This Row],[Zone EQS score]]&lt;=Table204[Equal or smaller than]),0)),"")</f>
        <v/>
      </c>
      <c r="AH77" s="14" t="s">
        <v>96</v>
      </c>
      <c r="AI77" s="14" t="s">
        <v>104</v>
      </c>
      <c r="AJ77" s="14" t="s">
        <v>94</v>
      </c>
      <c r="AK77" s="14" t="s">
        <v>104</v>
      </c>
      <c r="AL77" s="14" t="s">
        <v>98</v>
      </c>
    </row>
    <row r="78" spans="3:38" x14ac:dyDescent="0.4">
      <c r="AB78" s="14" t="s">
        <v>83</v>
      </c>
      <c r="AC78" s="81" t="s">
        <v>115</v>
      </c>
      <c r="AD78" s="14" t="s">
        <v>116</v>
      </c>
      <c r="AE78" s="14" t="s">
        <v>117</v>
      </c>
      <c r="AF78" s="14" t="s">
        <v>52</v>
      </c>
      <c r="AH78" s="14" t="s">
        <v>96</v>
      </c>
      <c r="AI78" s="14" t="s">
        <v>104</v>
      </c>
      <c r="AJ78" s="14" t="s">
        <v>94</v>
      </c>
      <c r="AK78" s="14" t="s">
        <v>101</v>
      </c>
      <c r="AL78" s="14" t="s">
        <v>98</v>
      </c>
    </row>
    <row r="79" spans="3:38" x14ac:dyDescent="0.4">
      <c r="D79" s="17" t="s">
        <v>1905</v>
      </c>
      <c r="AB79" s="14" t="s">
        <v>97</v>
      </c>
      <c r="AC79" s="14">
        <v>4.0000099999999996</v>
      </c>
      <c r="AD79" s="14">
        <v>6</v>
      </c>
      <c r="AE79" s="39">
        <v>5</v>
      </c>
      <c r="AF79" s="14" t="s">
        <v>95</v>
      </c>
      <c r="AH79" s="14" t="s">
        <v>96</v>
      </c>
      <c r="AI79" s="14" t="s">
        <v>104</v>
      </c>
      <c r="AJ79" s="14" t="s">
        <v>94</v>
      </c>
      <c r="AK79" s="14" t="s">
        <v>94</v>
      </c>
      <c r="AL79" s="14" t="s">
        <v>98</v>
      </c>
    </row>
    <row r="80" spans="3:38" hidden="1" x14ac:dyDescent="0.4">
      <c r="C80" s="14">
        <v>5.22</v>
      </c>
      <c r="D80" s="14">
        <v>5.23</v>
      </c>
      <c r="AB80" s="14" t="s">
        <v>96</v>
      </c>
      <c r="AC80" s="14">
        <v>3.1</v>
      </c>
      <c r="AD80" s="14">
        <v>4.0000099999999996</v>
      </c>
      <c r="AE80" s="39">
        <v>4</v>
      </c>
      <c r="AH80" s="14" t="s">
        <v>96</v>
      </c>
      <c r="AI80" s="14" t="s">
        <v>101</v>
      </c>
      <c r="AJ80" s="14" t="s">
        <v>97</v>
      </c>
      <c r="AK80" s="14" t="s">
        <v>97</v>
      </c>
      <c r="AL80" s="14" t="s">
        <v>98</v>
      </c>
    </row>
    <row r="81" spans="3:38" ht="33.6" x14ac:dyDescent="0.4">
      <c r="C81" s="101" t="s">
        <v>40</v>
      </c>
      <c r="D81" s="58" t="s">
        <v>154</v>
      </c>
      <c r="AB81" s="14" t="s">
        <v>104</v>
      </c>
      <c r="AC81" s="14">
        <v>2.1</v>
      </c>
      <c r="AD81" s="14">
        <v>3.09999</v>
      </c>
      <c r="AE81" s="39">
        <v>3</v>
      </c>
      <c r="AH81" s="14" t="s">
        <v>96</v>
      </c>
      <c r="AI81" s="14" t="s">
        <v>101</v>
      </c>
      <c r="AJ81" s="14" t="s">
        <v>97</v>
      </c>
      <c r="AK81" s="14" t="s">
        <v>96</v>
      </c>
      <c r="AL81" s="14" t="s">
        <v>98</v>
      </c>
    </row>
    <row r="82" spans="3:38" x14ac:dyDescent="0.4">
      <c r="C82" s="93" t="str">
        <f>C74</f>
        <v/>
      </c>
      <c r="D82" s="55" t="str" cm="1">
        <f t="array" ref="D82">IFERROR(INDEX(Table40[Benthic status], MATCH(1, (F77=Table40[[Reference zone ]])*(F76=Table40[Farm monitoring zone 1])*(F75=Table40[Farm monitoring zone 2])*(F74=Table40[Farm monitoring zone 3]), 0)),"")</f>
        <v/>
      </c>
      <c r="AB82" s="14" t="s">
        <v>101</v>
      </c>
      <c r="AC82" s="14">
        <v>1.1000000000000001</v>
      </c>
      <c r="AD82" s="14">
        <v>2.09999</v>
      </c>
      <c r="AE82" s="39">
        <v>2</v>
      </c>
      <c r="AH82" s="14" t="s">
        <v>96</v>
      </c>
      <c r="AI82" s="14" t="s">
        <v>101</v>
      </c>
      <c r="AJ82" s="14" t="s">
        <v>97</v>
      </c>
      <c r="AK82" s="14" t="s">
        <v>104</v>
      </c>
      <c r="AL82" s="14" t="s">
        <v>98</v>
      </c>
    </row>
    <row r="83" spans="3:38" x14ac:dyDescent="0.4">
      <c r="AB83" s="14" t="s">
        <v>94</v>
      </c>
      <c r="AC83" s="14">
        <v>0</v>
      </c>
      <c r="AD83" s="14">
        <v>1.09999</v>
      </c>
      <c r="AE83" s="39">
        <v>1</v>
      </c>
      <c r="AF83" s="14" t="s">
        <v>119</v>
      </c>
      <c r="AH83" s="14" t="s">
        <v>96</v>
      </c>
      <c r="AI83" s="14" t="s">
        <v>101</v>
      </c>
      <c r="AJ83" s="14" t="s">
        <v>97</v>
      </c>
      <c r="AK83" s="14" t="s">
        <v>101</v>
      </c>
      <c r="AL83" s="14" t="s">
        <v>98</v>
      </c>
    </row>
    <row r="84" spans="3:38" x14ac:dyDescent="0.4">
      <c r="AH84" s="14" t="s">
        <v>96</v>
      </c>
      <c r="AI84" s="14" t="s">
        <v>101</v>
      </c>
      <c r="AJ84" s="14" t="s">
        <v>97</v>
      </c>
      <c r="AK84" s="14" t="s">
        <v>94</v>
      </c>
      <c r="AL84" s="14" t="s">
        <v>98</v>
      </c>
    </row>
    <row r="85" spans="3:38" x14ac:dyDescent="0.4">
      <c r="AH85" s="14" t="s">
        <v>96</v>
      </c>
      <c r="AI85" s="14" t="s">
        <v>101</v>
      </c>
      <c r="AJ85" s="14" t="s">
        <v>96</v>
      </c>
      <c r="AK85" s="14" t="s">
        <v>97</v>
      </c>
      <c r="AL85" s="14" t="s">
        <v>98</v>
      </c>
    </row>
    <row r="86" spans="3:38" x14ac:dyDescent="0.4">
      <c r="AH86" s="14" t="s">
        <v>96</v>
      </c>
      <c r="AI86" s="14" t="s">
        <v>101</v>
      </c>
      <c r="AJ86" s="14" t="s">
        <v>96</v>
      </c>
      <c r="AK86" s="14" t="s">
        <v>96</v>
      </c>
      <c r="AL86" s="14" t="s">
        <v>98</v>
      </c>
    </row>
    <row r="87" spans="3:38" x14ac:dyDescent="0.4">
      <c r="AH87" s="14" t="s">
        <v>96</v>
      </c>
      <c r="AI87" s="14" t="s">
        <v>101</v>
      </c>
      <c r="AJ87" s="14" t="s">
        <v>96</v>
      </c>
      <c r="AK87" s="14" t="s">
        <v>104</v>
      </c>
      <c r="AL87" s="14" t="s">
        <v>98</v>
      </c>
    </row>
    <row r="88" spans="3:38" x14ac:dyDescent="0.4">
      <c r="AH88" s="14" t="s">
        <v>96</v>
      </c>
      <c r="AI88" s="14" t="s">
        <v>101</v>
      </c>
      <c r="AJ88" s="14" t="s">
        <v>96</v>
      </c>
      <c r="AK88" s="14" t="s">
        <v>101</v>
      </c>
      <c r="AL88" s="14" t="s">
        <v>98</v>
      </c>
    </row>
    <row r="89" spans="3:38" x14ac:dyDescent="0.4">
      <c r="AH89" s="14" t="s">
        <v>96</v>
      </c>
      <c r="AI89" s="14" t="s">
        <v>101</v>
      </c>
      <c r="AJ89" s="14" t="s">
        <v>96</v>
      </c>
      <c r="AK89" s="14" t="s">
        <v>94</v>
      </c>
      <c r="AL89" s="14" t="s">
        <v>98</v>
      </c>
    </row>
    <row r="90" spans="3:38" x14ac:dyDescent="0.4">
      <c r="AH90" s="14" t="s">
        <v>96</v>
      </c>
      <c r="AI90" s="14" t="s">
        <v>101</v>
      </c>
      <c r="AJ90" s="14" t="s">
        <v>104</v>
      </c>
      <c r="AK90" s="14" t="s">
        <v>97</v>
      </c>
      <c r="AL90" s="14" t="s">
        <v>98</v>
      </c>
    </row>
    <row r="91" spans="3:38" x14ac:dyDescent="0.4">
      <c r="AH91" s="14" t="s">
        <v>96</v>
      </c>
      <c r="AI91" s="14" t="s">
        <v>101</v>
      </c>
      <c r="AJ91" s="14" t="s">
        <v>104</v>
      </c>
      <c r="AK91" s="14" t="s">
        <v>96</v>
      </c>
      <c r="AL91" s="14" t="s">
        <v>98</v>
      </c>
    </row>
    <row r="92" spans="3:38" x14ac:dyDescent="0.4">
      <c r="AH92" s="14" t="s">
        <v>96</v>
      </c>
      <c r="AI92" s="14" t="s">
        <v>101</v>
      </c>
      <c r="AJ92" s="14" t="s">
        <v>104</v>
      </c>
      <c r="AK92" s="14" t="s">
        <v>104</v>
      </c>
      <c r="AL92" s="14" t="s">
        <v>98</v>
      </c>
    </row>
    <row r="93" spans="3:38" x14ac:dyDescent="0.4">
      <c r="AH93" s="14" t="s">
        <v>96</v>
      </c>
      <c r="AI93" s="14" t="s">
        <v>101</v>
      </c>
      <c r="AJ93" s="14" t="s">
        <v>104</v>
      </c>
      <c r="AK93" s="14" t="s">
        <v>101</v>
      </c>
      <c r="AL93" s="14" t="s">
        <v>98</v>
      </c>
    </row>
    <row r="94" spans="3:38" x14ac:dyDescent="0.4">
      <c r="AH94" s="14" t="s">
        <v>96</v>
      </c>
      <c r="AI94" s="14" t="s">
        <v>101</v>
      </c>
      <c r="AJ94" s="14" t="s">
        <v>104</v>
      </c>
      <c r="AK94" s="14" t="s">
        <v>94</v>
      </c>
      <c r="AL94" s="14" t="s">
        <v>98</v>
      </c>
    </row>
    <row r="95" spans="3:38" x14ac:dyDescent="0.4">
      <c r="AH95" s="14" t="s">
        <v>96</v>
      </c>
      <c r="AI95" s="14" t="s">
        <v>101</v>
      </c>
      <c r="AJ95" s="14" t="s">
        <v>101</v>
      </c>
      <c r="AK95" s="14" t="s">
        <v>97</v>
      </c>
      <c r="AL95" s="14" t="s">
        <v>98</v>
      </c>
    </row>
    <row r="96" spans="3:38" x14ac:dyDescent="0.4">
      <c r="AH96" s="14" t="s">
        <v>96</v>
      </c>
      <c r="AI96" s="14" t="s">
        <v>101</v>
      </c>
      <c r="AJ96" s="14" t="s">
        <v>101</v>
      </c>
      <c r="AK96" s="14" t="s">
        <v>96</v>
      </c>
      <c r="AL96" s="14" t="s">
        <v>98</v>
      </c>
    </row>
    <row r="97" spans="34:38" x14ac:dyDescent="0.4">
      <c r="AH97" s="14" t="s">
        <v>96</v>
      </c>
      <c r="AI97" s="14" t="s">
        <v>101</v>
      </c>
      <c r="AJ97" s="14" t="s">
        <v>101</v>
      </c>
      <c r="AK97" s="14" t="s">
        <v>104</v>
      </c>
      <c r="AL97" s="14" t="s">
        <v>98</v>
      </c>
    </row>
    <row r="98" spans="34:38" x14ac:dyDescent="0.4">
      <c r="AH98" s="14" t="s">
        <v>96</v>
      </c>
      <c r="AI98" s="14" t="s">
        <v>101</v>
      </c>
      <c r="AJ98" s="14" t="s">
        <v>101</v>
      </c>
      <c r="AK98" s="14" t="s">
        <v>101</v>
      </c>
      <c r="AL98" s="14" t="s">
        <v>98</v>
      </c>
    </row>
    <row r="99" spans="34:38" x14ac:dyDescent="0.4">
      <c r="AH99" s="14" t="s">
        <v>96</v>
      </c>
      <c r="AI99" s="14" t="s">
        <v>101</v>
      </c>
      <c r="AJ99" s="14" t="s">
        <v>101</v>
      </c>
      <c r="AK99" s="14" t="s">
        <v>94</v>
      </c>
      <c r="AL99" s="14" t="s">
        <v>98</v>
      </c>
    </row>
    <row r="100" spans="34:38" x14ac:dyDescent="0.4">
      <c r="AH100" s="14" t="s">
        <v>96</v>
      </c>
      <c r="AI100" s="14" t="s">
        <v>101</v>
      </c>
      <c r="AJ100" s="14" t="s">
        <v>94</v>
      </c>
      <c r="AK100" s="14" t="s">
        <v>97</v>
      </c>
      <c r="AL100" s="14" t="s">
        <v>98</v>
      </c>
    </row>
    <row r="101" spans="34:38" x14ac:dyDescent="0.4">
      <c r="AH101" s="14" t="s">
        <v>96</v>
      </c>
      <c r="AI101" s="14" t="s">
        <v>101</v>
      </c>
      <c r="AJ101" s="14" t="s">
        <v>94</v>
      </c>
      <c r="AK101" s="14" t="s">
        <v>96</v>
      </c>
      <c r="AL101" s="14" t="s">
        <v>98</v>
      </c>
    </row>
    <row r="102" spans="34:38" x14ac:dyDescent="0.4">
      <c r="AH102" s="14" t="s">
        <v>96</v>
      </c>
      <c r="AI102" s="14" t="s">
        <v>101</v>
      </c>
      <c r="AJ102" s="14" t="s">
        <v>94</v>
      </c>
      <c r="AK102" s="14" t="s">
        <v>104</v>
      </c>
      <c r="AL102" s="14" t="s">
        <v>98</v>
      </c>
    </row>
    <row r="103" spans="34:38" x14ac:dyDescent="0.4">
      <c r="AH103" s="14" t="s">
        <v>96</v>
      </c>
      <c r="AI103" s="14" t="s">
        <v>101</v>
      </c>
      <c r="AJ103" s="14" t="s">
        <v>94</v>
      </c>
      <c r="AK103" s="14" t="s">
        <v>101</v>
      </c>
      <c r="AL103" s="14" t="s">
        <v>98</v>
      </c>
    </row>
    <row r="104" spans="34:38" x14ac:dyDescent="0.4">
      <c r="AH104" s="14" t="s">
        <v>96</v>
      </c>
      <c r="AI104" s="14" t="s">
        <v>101</v>
      </c>
      <c r="AJ104" s="14" t="s">
        <v>94</v>
      </c>
      <c r="AK104" s="14" t="s">
        <v>94</v>
      </c>
      <c r="AL104" s="14" t="s">
        <v>98</v>
      </c>
    </row>
    <row r="105" spans="34:38" x14ac:dyDescent="0.4">
      <c r="AH105" s="14" t="s">
        <v>96</v>
      </c>
      <c r="AI105" s="14" t="s">
        <v>94</v>
      </c>
      <c r="AJ105" s="14" t="s">
        <v>97</v>
      </c>
      <c r="AK105" s="14" t="s">
        <v>97</v>
      </c>
      <c r="AL105" s="14" t="s">
        <v>98</v>
      </c>
    </row>
    <row r="106" spans="34:38" x14ac:dyDescent="0.4">
      <c r="AH106" s="14" t="s">
        <v>96</v>
      </c>
      <c r="AI106" s="14" t="s">
        <v>94</v>
      </c>
      <c r="AJ106" s="14" t="s">
        <v>97</v>
      </c>
      <c r="AK106" s="14" t="s">
        <v>96</v>
      </c>
      <c r="AL106" s="14" t="s">
        <v>98</v>
      </c>
    </row>
    <row r="107" spans="34:38" x14ac:dyDescent="0.4">
      <c r="AH107" s="14" t="s">
        <v>96</v>
      </c>
      <c r="AI107" s="14" t="s">
        <v>94</v>
      </c>
      <c r="AJ107" s="14" t="s">
        <v>97</v>
      </c>
      <c r="AK107" s="14" t="s">
        <v>104</v>
      </c>
      <c r="AL107" s="14" t="s">
        <v>98</v>
      </c>
    </row>
    <row r="108" spans="34:38" x14ac:dyDescent="0.4">
      <c r="AH108" s="14" t="s">
        <v>96</v>
      </c>
      <c r="AI108" s="14" t="s">
        <v>94</v>
      </c>
      <c r="AJ108" s="14" t="s">
        <v>97</v>
      </c>
      <c r="AK108" s="14" t="s">
        <v>101</v>
      </c>
      <c r="AL108" s="14" t="s">
        <v>98</v>
      </c>
    </row>
    <row r="109" spans="34:38" x14ac:dyDescent="0.4">
      <c r="AH109" s="14" t="s">
        <v>96</v>
      </c>
      <c r="AI109" s="14" t="s">
        <v>94</v>
      </c>
      <c r="AJ109" s="14" t="s">
        <v>97</v>
      </c>
      <c r="AK109" s="14" t="s">
        <v>94</v>
      </c>
      <c r="AL109" s="14" t="s">
        <v>98</v>
      </c>
    </row>
    <row r="110" spans="34:38" x14ac:dyDescent="0.4">
      <c r="AH110" s="14" t="s">
        <v>96</v>
      </c>
      <c r="AI110" s="14" t="s">
        <v>94</v>
      </c>
      <c r="AJ110" s="14" t="s">
        <v>96</v>
      </c>
      <c r="AK110" s="14" t="s">
        <v>97</v>
      </c>
      <c r="AL110" s="14" t="s">
        <v>98</v>
      </c>
    </row>
    <row r="111" spans="34:38" x14ac:dyDescent="0.4">
      <c r="AH111" s="14" t="s">
        <v>96</v>
      </c>
      <c r="AI111" s="14" t="s">
        <v>94</v>
      </c>
      <c r="AJ111" s="14" t="s">
        <v>96</v>
      </c>
      <c r="AK111" s="14" t="s">
        <v>96</v>
      </c>
      <c r="AL111" s="14" t="s">
        <v>98</v>
      </c>
    </row>
    <row r="112" spans="34:38" x14ac:dyDescent="0.4">
      <c r="AH112" s="14" t="s">
        <v>96</v>
      </c>
      <c r="AI112" s="14" t="s">
        <v>94</v>
      </c>
      <c r="AJ112" s="14" t="s">
        <v>96</v>
      </c>
      <c r="AK112" s="14" t="s">
        <v>104</v>
      </c>
      <c r="AL112" s="14" t="s">
        <v>98</v>
      </c>
    </row>
    <row r="113" spans="34:38" x14ac:dyDescent="0.4">
      <c r="AH113" s="14" t="s">
        <v>96</v>
      </c>
      <c r="AI113" s="14" t="s">
        <v>94</v>
      </c>
      <c r="AJ113" s="14" t="s">
        <v>96</v>
      </c>
      <c r="AK113" s="14" t="s">
        <v>101</v>
      </c>
      <c r="AL113" s="14" t="s">
        <v>98</v>
      </c>
    </row>
    <row r="114" spans="34:38" x14ac:dyDescent="0.4">
      <c r="AH114" s="14" t="s">
        <v>96</v>
      </c>
      <c r="AI114" s="14" t="s">
        <v>94</v>
      </c>
      <c r="AJ114" s="14" t="s">
        <v>96</v>
      </c>
      <c r="AK114" s="14" t="s">
        <v>94</v>
      </c>
      <c r="AL114" s="14" t="s">
        <v>98</v>
      </c>
    </row>
    <row r="115" spans="34:38" x14ac:dyDescent="0.4">
      <c r="AH115" s="14" t="s">
        <v>96</v>
      </c>
      <c r="AI115" s="14" t="s">
        <v>94</v>
      </c>
      <c r="AJ115" s="14" t="s">
        <v>104</v>
      </c>
      <c r="AK115" s="14" t="s">
        <v>97</v>
      </c>
      <c r="AL115" s="14" t="s">
        <v>98</v>
      </c>
    </row>
    <row r="116" spans="34:38" x14ac:dyDescent="0.4">
      <c r="AH116" s="14" t="s">
        <v>96</v>
      </c>
      <c r="AI116" s="14" t="s">
        <v>94</v>
      </c>
      <c r="AJ116" s="14" t="s">
        <v>104</v>
      </c>
      <c r="AK116" s="14" t="s">
        <v>96</v>
      </c>
      <c r="AL116" s="14" t="s">
        <v>98</v>
      </c>
    </row>
    <row r="117" spans="34:38" x14ac:dyDescent="0.4">
      <c r="AH117" s="14" t="s">
        <v>96</v>
      </c>
      <c r="AI117" s="14" t="s">
        <v>94</v>
      </c>
      <c r="AJ117" s="14" t="s">
        <v>104</v>
      </c>
      <c r="AK117" s="14" t="s">
        <v>104</v>
      </c>
      <c r="AL117" s="14" t="s">
        <v>98</v>
      </c>
    </row>
    <row r="118" spans="34:38" x14ac:dyDescent="0.4">
      <c r="AH118" s="14" t="s">
        <v>96</v>
      </c>
      <c r="AI118" s="14" t="s">
        <v>94</v>
      </c>
      <c r="AJ118" s="14" t="s">
        <v>104</v>
      </c>
      <c r="AK118" s="14" t="s">
        <v>101</v>
      </c>
      <c r="AL118" s="14" t="s">
        <v>98</v>
      </c>
    </row>
    <row r="119" spans="34:38" x14ac:dyDescent="0.4">
      <c r="AH119" s="14" t="s">
        <v>96</v>
      </c>
      <c r="AI119" s="14" t="s">
        <v>94</v>
      </c>
      <c r="AJ119" s="14" t="s">
        <v>104</v>
      </c>
      <c r="AK119" s="14" t="s">
        <v>94</v>
      </c>
      <c r="AL119" s="14" t="s">
        <v>98</v>
      </c>
    </row>
    <row r="120" spans="34:38" x14ac:dyDescent="0.4">
      <c r="AH120" s="14" t="s">
        <v>96</v>
      </c>
      <c r="AI120" s="14" t="s">
        <v>94</v>
      </c>
      <c r="AJ120" s="14" t="s">
        <v>101</v>
      </c>
      <c r="AK120" s="14" t="s">
        <v>97</v>
      </c>
      <c r="AL120" s="14" t="s">
        <v>98</v>
      </c>
    </row>
    <row r="121" spans="34:38" x14ac:dyDescent="0.4">
      <c r="AH121" s="14" t="s">
        <v>96</v>
      </c>
      <c r="AI121" s="14" t="s">
        <v>94</v>
      </c>
      <c r="AJ121" s="14" t="s">
        <v>101</v>
      </c>
      <c r="AK121" s="14" t="s">
        <v>96</v>
      </c>
      <c r="AL121" s="14" t="s">
        <v>98</v>
      </c>
    </row>
    <row r="122" spans="34:38" x14ac:dyDescent="0.4">
      <c r="AH122" s="14" t="s">
        <v>96</v>
      </c>
      <c r="AI122" s="14" t="s">
        <v>94</v>
      </c>
      <c r="AJ122" s="14" t="s">
        <v>101</v>
      </c>
      <c r="AK122" s="14" t="s">
        <v>104</v>
      </c>
      <c r="AL122" s="14" t="s">
        <v>98</v>
      </c>
    </row>
    <row r="123" spans="34:38" x14ac:dyDescent="0.4">
      <c r="AH123" s="14" t="s">
        <v>96</v>
      </c>
      <c r="AI123" s="14" t="s">
        <v>94</v>
      </c>
      <c r="AJ123" s="14" t="s">
        <v>101</v>
      </c>
      <c r="AK123" s="14" t="s">
        <v>101</v>
      </c>
      <c r="AL123" s="14" t="s">
        <v>98</v>
      </c>
    </row>
    <row r="124" spans="34:38" x14ac:dyDescent="0.4">
      <c r="AH124" s="14" t="s">
        <v>96</v>
      </c>
      <c r="AI124" s="14" t="s">
        <v>94</v>
      </c>
      <c r="AJ124" s="14" t="s">
        <v>101</v>
      </c>
      <c r="AK124" s="14" t="s">
        <v>94</v>
      </c>
      <c r="AL124" s="14" t="s">
        <v>98</v>
      </c>
    </row>
    <row r="125" spans="34:38" x14ac:dyDescent="0.4">
      <c r="AH125" s="14" t="s">
        <v>96</v>
      </c>
      <c r="AI125" s="14" t="s">
        <v>94</v>
      </c>
      <c r="AJ125" s="14" t="s">
        <v>94</v>
      </c>
      <c r="AK125" s="14" t="s">
        <v>97</v>
      </c>
      <c r="AL125" s="14" t="s">
        <v>98</v>
      </c>
    </row>
    <row r="126" spans="34:38" x14ac:dyDescent="0.4">
      <c r="AH126" s="14" t="s">
        <v>96</v>
      </c>
      <c r="AI126" s="14" t="s">
        <v>94</v>
      </c>
      <c r="AJ126" s="14" t="s">
        <v>94</v>
      </c>
      <c r="AK126" s="14" t="s">
        <v>96</v>
      </c>
      <c r="AL126" s="14" t="s">
        <v>98</v>
      </c>
    </row>
    <row r="127" spans="34:38" x14ac:dyDescent="0.4">
      <c r="AH127" s="14" t="s">
        <v>96</v>
      </c>
      <c r="AI127" s="14" t="s">
        <v>94</v>
      </c>
      <c r="AJ127" s="14" t="s">
        <v>94</v>
      </c>
      <c r="AK127" s="14" t="s">
        <v>104</v>
      </c>
      <c r="AL127" s="14" t="s">
        <v>98</v>
      </c>
    </row>
    <row r="128" spans="34:38" x14ac:dyDescent="0.4">
      <c r="AH128" s="14" t="s">
        <v>96</v>
      </c>
      <c r="AI128" s="14" t="s">
        <v>94</v>
      </c>
      <c r="AJ128" s="14" t="s">
        <v>94</v>
      </c>
      <c r="AK128" s="14" t="s">
        <v>101</v>
      </c>
      <c r="AL128" s="14" t="s">
        <v>98</v>
      </c>
    </row>
    <row r="129" spans="34:38" x14ac:dyDescent="0.4">
      <c r="AH129" s="14" t="s">
        <v>96</v>
      </c>
      <c r="AI129" s="14" t="s">
        <v>94</v>
      </c>
      <c r="AJ129" s="14" t="s">
        <v>94</v>
      </c>
      <c r="AK129" s="14" t="s">
        <v>94</v>
      </c>
      <c r="AL129" s="14" t="s">
        <v>98</v>
      </c>
    </row>
    <row r="130" spans="34:38" x14ac:dyDescent="0.4">
      <c r="AH130" s="69" t="s">
        <v>97</v>
      </c>
      <c r="AI130" s="69" t="s">
        <v>97</v>
      </c>
      <c r="AJ130" s="69" t="s">
        <v>97</v>
      </c>
      <c r="AK130" s="69" t="s">
        <v>97</v>
      </c>
      <c r="AL130" s="14" t="s">
        <v>98</v>
      </c>
    </row>
    <row r="131" spans="34:38" x14ac:dyDescent="0.4">
      <c r="AH131" s="69" t="s">
        <v>97</v>
      </c>
      <c r="AI131" s="69" t="s">
        <v>97</v>
      </c>
      <c r="AJ131" s="69" t="s">
        <v>97</v>
      </c>
      <c r="AK131" s="69" t="s">
        <v>96</v>
      </c>
      <c r="AL131" s="14" t="s">
        <v>98</v>
      </c>
    </row>
    <row r="132" spans="34:38" x14ac:dyDescent="0.4">
      <c r="AH132" s="69" t="s">
        <v>97</v>
      </c>
      <c r="AI132" s="69" t="s">
        <v>97</v>
      </c>
      <c r="AJ132" s="69" t="s">
        <v>97</v>
      </c>
      <c r="AK132" s="69" t="s">
        <v>104</v>
      </c>
      <c r="AL132" s="14" t="s">
        <v>98</v>
      </c>
    </row>
    <row r="133" spans="34:38" x14ac:dyDescent="0.4">
      <c r="AH133" s="69" t="s">
        <v>97</v>
      </c>
      <c r="AI133" s="69" t="s">
        <v>97</v>
      </c>
      <c r="AJ133" s="69" t="s">
        <v>97</v>
      </c>
      <c r="AK133" s="69" t="s">
        <v>101</v>
      </c>
      <c r="AL133" s="14" t="s">
        <v>98</v>
      </c>
    </row>
    <row r="134" spans="34:38" x14ac:dyDescent="0.4">
      <c r="AH134" s="69" t="s">
        <v>97</v>
      </c>
      <c r="AI134" s="69" t="s">
        <v>97</v>
      </c>
      <c r="AJ134" s="69" t="s">
        <v>97</v>
      </c>
      <c r="AK134" s="69" t="s">
        <v>94</v>
      </c>
      <c r="AL134" s="14" t="s">
        <v>98</v>
      </c>
    </row>
    <row r="135" spans="34:38" x14ac:dyDescent="0.4">
      <c r="AH135" s="69" t="s">
        <v>97</v>
      </c>
      <c r="AI135" s="69" t="s">
        <v>97</v>
      </c>
      <c r="AJ135" s="69" t="s">
        <v>96</v>
      </c>
      <c r="AK135" s="69" t="s">
        <v>97</v>
      </c>
      <c r="AL135" s="14" t="s">
        <v>98</v>
      </c>
    </row>
    <row r="136" spans="34:38" x14ac:dyDescent="0.4">
      <c r="AH136" s="69" t="s">
        <v>97</v>
      </c>
      <c r="AI136" s="69" t="s">
        <v>97</v>
      </c>
      <c r="AJ136" s="69" t="s">
        <v>96</v>
      </c>
      <c r="AK136" s="69" t="s">
        <v>96</v>
      </c>
      <c r="AL136" s="14" t="s">
        <v>98</v>
      </c>
    </row>
    <row r="137" spans="34:38" x14ac:dyDescent="0.4">
      <c r="AH137" s="69" t="s">
        <v>97</v>
      </c>
      <c r="AI137" s="69" t="s">
        <v>97</v>
      </c>
      <c r="AJ137" s="69" t="s">
        <v>96</v>
      </c>
      <c r="AK137" s="69" t="s">
        <v>104</v>
      </c>
      <c r="AL137" s="14" t="s">
        <v>98</v>
      </c>
    </row>
    <row r="138" spans="34:38" x14ac:dyDescent="0.4">
      <c r="AH138" s="69" t="s">
        <v>97</v>
      </c>
      <c r="AI138" s="69" t="s">
        <v>97</v>
      </c>
      <c r="AJ138" s="69" t="s">
        <v>96</v>
      </c>
      <c r="AK138" s="69" t="s">
        <v>101</v>
      </c>
      <c r="AL138" s="14" t="s">
        <v>98</v>
      </c>
    </row>
    <row r="139" spans="34:38" x14ac:dyDescent="0.4">
      <c r="AH139" s="69" t="s">
        <v>97</v>
      </c>
      <c r="AI139" s="69" t="s">
        <v>97</v>
      </c>
      <c r="AJ139" s="69" t="s">
        <v>96</v>
      </c>
      <c r="AK139" s="69" t="s">
        <v>94</v>
      </c>
      <c r="AL139" s="14" t="s">
        <v>98</v>
      </c>
    </row>
    <row r="140" spans="34:38" x14ac:dyDescent="0.4">
      <c r="AH140" s="69" t="s">
        <v>97</v>
      </c>
      <c r="AI140" s="69" t="s">
        <v>97</v>
      </c>
      <c r="AJ140" s="69" t="s">
        <v>104</v>
      </c>
      <c r="AK140" s="69" t="s">
        <v>97</v>
      </c>
      <c r="AL140" s="14" t="s">
        <v>98</v>
      </c>
    </row>
    <row r="141" spans="34:38" x14ac:dyDescent="0.4">
      <c r="AH141" s="69" t="s">
        <v>97</v>
      </c>
      <c r="AI141" s="69" t="s">
        <v>97</v>
      </c>
      <c r="AJ141" s="69" t="s">
        <v>104</v>
      </c>
      <c r="AK141" s="69" t="s">
        <v>96</v>
      </c>
      <c r="AL141" s="14" t="s">
        <v>98</v>
      </c>
    </row>
    <row r="142" spans="34:38" x14ac:dyDescent="0.4">
      <c r="AH142" s="69" t="s">
        <v>97</v>
      </c>
      <c r="AI142" s="69" t="s">
        <v>97</v>
      </c>
      <c r="AJ142" s="69" t="s">
        <v>104</v>
      </c>
      <c r="AK142" s="69" t="s">
        <v>104</v>
      </c>
      <c r="AL142" s="14" t="s">
        <v>98</v>
      </c>
    </row>
    <row r="143" spans="34:38" x14ac:dyDescent="0.4">
      <c r="AH143" s="69" t="s">
        <v>97</v>
      </c>
      <c r="AI143" s="69" t="s">
        <v>97</v>
      </c>
      <c r="AJ143" s="69" t="s">
        <v>104</v>
      </c>
      <c r="AK143" s="69" t="s">
        <v>101</v>
      </c>
      <c r="AL143" s="14" t="s">
        <v>98</v>
      </c>
    </row>
    <row r="144" spans="34:38" x14ac:dyDescent="0.4">
      <c r="AH144" s="69" t="s">
        <v>97</v>
      </c>
      <c r="AI144" s="69" t="s">
        <v>97</v>
      </c>
      <c r="AJ144" s="69" t="s">
        <v>104</v>
      </c>
      <c r="AK144" s="69" t="s">
        <v>94</v>
      </c>
      <c r="AL144" s="14" t="s">
        <v>98</v>
      </c>
    </row>
    <row r="145" spans="34:38" x14ac:dyDescent="0.4">
      <c r="AH145" s="69" t="s">
        <v>97</v>
      </c>
      <c r="AI145" s="69" t="s">
        <v>97</v>
      </c>
      <c r="AJ145" s="69" t="s">
        <v>101</v>
      </c>
      <c r="AK145" s="69" t="s">
        <v>97</v>
      </c>
      <c r="AL145" s="14" t="s">
        <v>98</v>
      </c>
    </row>
    <row r="146" spans="34:38" x14ac:dyDescent="0.4">
      <c r="AH146" s="69" t="s">
        <v>97</v>
      </c>
      <c r="AI146" s="69" t="s">
        <v>97</v>
      </c>
      <c r="AJ146" s="69" t="s">
        <v>101</v>
      </c>
      <c r="AK146" s="69" t="s">
        <v>96</v>
      </c>
      <c r="AL146" s="14" t="s">
        <v>98</v>
      </c>
    </row>
    <row r="147" spans="34:38" x14ac:dyDescent="0.4">
      <c r="AH147" s="69" t="s">
        <v>97</v>
      </c>
      <c r="AI147" s="69" t="s">
        <v>97</v>
      </c>
      <c r="AJ147" s="69" t="s">
        <v>101</v>
      </c>
      <c r="AK147" s="69" t="s">
        <v>104</v>
      </c>
      <c r="AL147" s="14" t="s">
        <v>98</v>
      </c>
    </row>
    <row r="148" spans="34:38" x14ac:dyDescent="0.4">
      <c r="AH148" s="69" t="s">
        <v>97</v>
      </c>
      <c r="AI148" s="69" t="s">
        <v>97</v>
      </c>
      <c r="AJ148" s="69" t="s">
        <v>101</v>
      </c>
      <c r="AK148" s="69" t="s">
        <v>101</v>
      </c>
      <c r="AL148" s="14" t="s">
        <v>98</v>
      </c>
    </row>
    <row r="149" spans="34:38" x14ac:dyDescent="0.4">
      <c r="AH149" s="69" t="s">
        <v>97</v>
      </c>
      <c r="AI149" s="69" t="s">
        <v>97</v>
      </c>
      <c r="AJ149" s="69" t="s">
        <v>101</v>
      </c>
      <c r="AK149" s="69" t="s">
        <v>94</v>
      </c>
      <c r="AL149" s="14" t="s">
        <v>98</v>
      </c>
    </row>
    <row r="150" spans="34:38" x14ac:dyDescent="0.4">
      <c r="AH150" s="69" t="s">
        <v>97</v>
      </c>
      <c r="AI150" s="69" t="s">
        <v>97</v>
      </c>
      <c r="AJ150" s="69" t="s">
        <v>94</v>
      </c>
      <c r="AK150" s="69" t="s">
        <v>97</v>
      </c>
      <c r="AL150" s="14" t="s">
        <v>98</v>
      </c>
    </row>
    <row r="151" spans="34:38" x14ac:dyDescent="0.4">
      <c r="AH151" s="69" t="s">
        <v>97</v>
      </c>
      <c r="AI151" s="69" t="s">
        <v>97</v>
      </c>
      <c r="AJ151" s="69" t="s">
        <v>94</v>
      </c>
      <c r="AK151" s="69" t="s">
        <v>96</v>
      </c>
      <c r="AL151" s="14" t="s">
        <v>98</v>
      </c>
    </row>
    <row r="152" spans="34:38" x14ac:dyDescent="0.4">
      <c r="AH152" s="69" t="s">
        <v>97</v>
      </c>
      <c r="AI152" s="69" t="s">
        <v>97</v>
      </c>
      <c r="AJ152" s="69" t="s">
        <v>94</v>
      </c>
      <c r="AK152" s="69" t="s">
        <v>104</v>
      </c>
      <c r="AL152" s="14" t="s">
        <v>98</v>
      </c>
    </row>
    <row r="153" spans="34:38" x14ac:dyDescent="0.4">
      <c r="AH153" s="69" t="s">
        <v>97</v>
      </c>
      <c r="AI153" s="69" t="s">
        <v>97</v>
      </c>
      <c r="AJ153" s="69" t="s">
        <v>94</v>
      </c>
      <c r="AK153" s="69" t="s">
        <v>101</v>
      </c>
      <c r="AL153" s="14" t="s">
        <v>98</v>
      </c>
    </row>
    <row r="154" spans="34:38" x14ac:dyDescent="0.4">
      <c r="AH154" s="69" t="s">
        <v>97</v>
      </c>
      <c r="AI154" s="69" t="s">
        <v>97</v>
      </c>
      <c r="AJ154" s="69" t="s">
        <v>94</v>
      </c>
      <c r="AK154" s="69" t="s">
        <v>94</v>
      </c>
      <c r="AL154" s="14" t="s">
        <v>98</v>
      </c>
    </row>
    <row r="155" spans="34:38" x14ac:dyDescent="0.4">
      <c r="AH155" s="69" t="s">
        <v>97</v>
      </c>
      <c r="AI155" s="69" t="s">
        <v>96</v>
      </c>
      <c r="AJ155" s="69" t="s">
        <v>97</v>
      </c>
      <c r="AK155" s="69" t="s">
        <v>97</v>
      </c>
      <c r="AL155" s="14" t="s">
        <v>98</v>
      </c>
    </row>
    <row r="156" spans="34:38" x14ac:dyDescent="0.4">
      <c r="AH156" s="69" t="s">
        <v>97</v>
      </c>
      <c r="AI156" s="69" t="s">
        <v>96</v>
      </c>
      <c r="AJ156" s="69" t="s">
        <v>97</v>
      </c>
      <c r="AK156" s="69" t="s">
        <v>96</v>
      </c>
      <c r="AL156" s="14" t="s">
        <v>98</v>
      </c>
    </row>
    <row r="157" spans="34:38" x14ac:dyDescent="0.4">
      <c r="AH157" s="69" t="s">
        <v>97</v>
      </c>
      <c r="AI157" s="69" t="s">
        <v>96</v>
      </c>
      <c r="AJ157" s="69" t="s">
        <v>97</v>
      </c>
      <c r="AK157" s="69" t="s">
        <v>104</v>
      </c>
      <c r="AL157" s="14" t="s">
        <v>98</v>
      </c>
    </row>
    <row r="158" spans="34:38" x14ac:dyDescent="0.4">
      <c r="AH158" s="69" t="s">
        <v>97</v>
      </c>
      <c r="AI158" s="69" t="s">
        <v>96</v>
      </c>
      <c r="AJ158" s="69" t="s">
        <v>97</v>
      </c>
      <c r="AK158" s="69" t="s">
        <v>101</v>
      </c>
      <c r="AL158" s="14" t="s">
        <v>98</v>
      </c>
    </row>
    <row r="159" spans="34:38" x14ac:dyDescent="0.4">
      <c r="AH159" s="69" t="s">
        <v>97</v>
      </c>
      <c r="AI159" s="69" t="s">
        <v>96</v>
      </c>
      <c r="AJ159" s="69" t="s">
        <v>97</v>
      </c>
      <c r="AK159" s="69" t="s">
        <v>94</v>
      </c>
      <c r="AL159" s="14" t="s">
        <v>98</v>
      </c>
    </row>
    <row r="160" spans="34:38" x14ac:dyDescent="0.4">
      <c r="AH160" s="69" t="s">
        <v>97</v>
      </c>
      <c r="AI160" s="69" t="s">
        <v>96</v>
      </c>
      <c r="AJ160" s="69" t="s">
        <v>96</v>
      </c>
      <c r="AK160" s="69" t="s">
        <v>97</v>
      </c>
      <c r="AL160" s="14" t="s">
        <v>98</v>
      </c>
    </row>
    <row r="161" spans="34:38" x14ac:dyDescent="0.4">
      <c r="AH161" s="69" t="s">
        <v>97</v>
      </c>
      <c r="AI161" s="69" t="s">
        <v>96</v>
      </c>
      <c r="AJ161" s="69" t="s">
        <v>96</v>
      </c>
      <c r="AK161" s="69" t="s">
        <v>96</v>
      </c>
      <c r="AL161" s="14" t="s">
        <v>98</v>
      </c>
    </row>
    <row r="162" spans="34:38" x14ac:dyDescent="0.4">
      <c r="AH162" s="69" t="s">
        <v>97</v>
      </c>
      <c r="AI162" s="69" t="s">
        <v>96</v>
      </c>
      <c r="AJ162" s="69" t="s">
        <v>96</v>
      </c>
      <c r="AK162" s="69" t="s">
        <v>104</v>
      </c>
      <c r="AL162" s="14" t="s">
        <v>98</v>
      </c>
    </row>
    <row r="163" spans="34:38" x14ac:dyDescent="0.4">
      <c r="AH163" s="69" t="s">
        <v>97</v>
      </c>
      <c r="AI163" s="69" t="s">
        <v>96</v>
      </c>
      <c r="AJ163" s="69" t="s">
        <v>96</v>
      </c>
      <c r="AK163" s="69" t="s">
        <v>101</v>
      </c>
      <c r="AL163" s="14" t="s">
        <v>98</v>
      </c>
    </row>
    <row r="164" spans="34:38" x14ac:dyDescent="0.4">
      <c r="AH164" s="69" t="s">
        <v>97</v>
      </c>
      <c r="AI164" s="69" t="s">
        <v>96</v>
      </c>
      <c r="AJ164" s="69" t="s">
        <v>96</v>
      </c>
      <c r="AK164" s="69" t="s">
        <v>94</v>
      </c>
      <c r="AL164" s="14" t="s">
        <v>98</v>
      </c>
    </row>
    <row r="165" spans="34:38" x14ac:dyDescent="0.4">
      <c r="AH165" s="69" t="s">
        <v>97</v>
      </c>
      <c r="AI165" s="69" t="s">
        <v>96</v>
      </c>
      <c r="AJ165" s="69" t="s">
        <v>104</v>
      </c>
      <c r="AK165" s="69" t="s">
        <v>97</v>
      </c>
      <c r="AL165" s="14" t="s">
        <v>98</v>
      </c>
    </row>
    <row r="166" spans="34:38" x14ac:dyDescent="0.4">
      <c r="AH166" s="69" t="s">
        <v>97</v>
      </c>
      <c r="AI166" s="69" t="s">
        <v>96</v>
      </c>
      <c r="AJ166" s="69" t="s">
        <v>104</v>
      </c>
      <c r="AK166" s="69" t="s">
        <v>96</v>
      </c>
      <c r="AL166" s="14" t="s">
        <v>98</v>
      </c>
    </row>
    <row r="167" spans="34:38" x14ac:dyDescent="0.4">
      <c r="AH167" s="69" t="s">
        <v>97</v>
      </c>
      <c r="AI167" s="69" t="s">
        <v>96</v>
      </c>
      <c r="AJ167" s="69" t="s">
        <v>104</v>
      </c>
      <c r="AK167" s="69" t="s">
        <v>104</v>
      </c>
      <c r="AL167" s="14" t="s">
        <v>98</v>
      </c>
    </row>
    <row r="168" spans="34:38" x14ac:dyDescent="0.4">
      <c r="AH168" s="69" t="s">
        <v>97</v>
      </c>
      <c r="AI168" s="69" t="s">
        <v>96</v>
      </c>
      <c r="AJ168" s="69" t="s">
        <v>104</v>
      </c>
      <c r="AK168" s="69" t="s">
        <v>101</v>
      </c>
      <c r="AL168" s="14" t="s">
        <v>98</v>
      </c>
    </row>
    <row r="169" spans="34:38" x14ac:dyDescent="0.4">
      <c r="AH169" s="69" t="s">
        <v>97</v>
      </c>
      <c r="AI169" s="69" t="s">
        <v>96</v>
      </c>
      <c r="AJ169" s="69" t="s">
        <v>104</v>
      </c>
      <c r="AK169" s="69" t="s">
        <v>94</v>
      </c>
      <c r="AL169" s="14" t="s">
        <v>98</v>
      </c>
    </row>
    <row r="170" spans="34:38" x14ac:dyDescent="0.4">
      <c r="AH170" s="69" t="s">
        <v>97</v>
      </c>
      <c r="AI170" s="69" t="s">
        <v>96</v>
      </c>
      <c r="AJ170" s="69" t="s">
        <v>101</v>
      </c>
      <c r="AK170" s="69" t="s">
        <v>97</v>
      </c>
      <c r="AL170" s="14" t="s">
        <v>98</v>
      </c>
    </row>
    <row r="171" spans="34:38" x14ac:dyDescent="0.4">
      <c r="AH171" s="69" t="s">
        <v>97</v>
      </c>
      <c r="AI171" s="69" t="s">
        <v>96</v>
      </c>
      <c r="AJ171" s="69" t="s">
        <v>101</v>
      </c>
      <c r="AK171" s="69" t="s">
        <v>96</v>
      </c>
      <c r="AL171" s="14" t="s">
        <v>98</v>
      </c>
    </row>
    <row r="172" spans="34:38" x14ac:dyDescent="0.4">
      <c r="AH172" s="69" t="s">
        <v>97</v>
      </c>
      <c r="AI172" s="69" t="s">
        <v>96</v>
      </c>
      <c r="AJ172" s="69" t="s">
        <v>101</v>
      </c>
      <c r="AK172" s="69" t="s">
        <v>104</v>
      </c>
      <c r="AL172" s="14" t="s">
        <v>98</v>
      </c>
    </row>
    <row r="173" spans="34:38" x14ac:dyDescent="0.4">
      <c r="AH173" s="69" t="s">
        <v>97</v>
      </c>
      <c r="AI173" s="69" t="s">
        <v>96</v>
      </c>
      <c r="AJ173" s="69" t="s">
        <v>101</v>
      </c>
      <c r="AK173" s="69" t="s">
        <v>101</v>
      </c>
      <c r="AL173" s="14" t="s">
        <v>98</v>
      </c>
    </row>
    <row r="174" spans="34:38" x14ac:dyDescent="0.4">
      <c r="AH174" s="69" t="s">
        <v>97</v>
      </c>
      <c r="AI174" s="69" t="s">
        <v>96</v>
      </c>
      <c r="AJ174" s="69" t="s">
        <v>101</v>
      </c>
      <c r="AK174" s="69" t="s">
        <v>94</v>
      </c>
      <c r="AL174" s="14" t="s">
        <v>98</v>
      </c>
    </row>
    <row r="175" spans="34:38" x14ac:dyDescent="0.4">
      <c r="AH175" s="69" t="s">
        <v>97</v>
      </c>
      <c r="AI175" s="69" t="s">
        <v>96</v>
      </c>
      <c r="AJ175" s="69" t="s">
        <v>94</v>
      </c>
      <c r="AK175" s="69" t="s">
        <v>97</v>
      </c>
      <c r="AL175" s="14" t="s">
        <v>98</v>
      </c>
    </row>
    <row r="176" spans="34:38" x14ac:dyDescent="0.4">
      <c r="AH176" s="69" t="s">
        <v>97</v>
      </c>
      <c r="AI176" s="69" t="s">
        <v>96</v>
      </c>
      <c r="AJ176" s="69" t="s">
        <v>94</v>
      </c>
      <c r="AK176" s="69" t="s">
        <v>96</v>
      </c>
      <c r="AL176" s="14" t="s">
        <v>98</v>
      </c>
    </row>
    <row r="177" spans="34:38" x14ac:dyDescent="0.4">
      <c r="AH177" s="69" t="s">
        <v>97</v>
      </c>
      <c r="AI177" s="69" t="s">
        <v>96</v>
      </c>
      <c r="AJ177" s="69" t="s">
        <v>94</v>
      </c>
      <c r="AK177" s="69" t="s">
        <v>104</v>
      </c>
      <c r="AL177" s="14" t="s">
        <v>98</v>
      </c>
    </row>
    <row r="178" spans="34:38" x14ac:dyDescent="0.4">
      <c r="AH178" s="69" t="s">
        <v>97</v>
      </c>
      <c r="AI178" s="69" t="s">
        <v>96</v>
      </c>
      <c r="AJ178" s="69" t="s">
        <v>94</v>
      </c>
      <c r="AK178" s="69" t="s">
        <v>101</v>
      </c>
      <c r="AL178" s="14" t="s">
        <v>98</v>
      </c>
    </row>
    <row r="179" spans="34:38" x14ac:dyDescent="0.4">
      <c r="AH179" s="69" t="s">
        <v>97</v>
      </c>
      <c r="AI179" s="69" t="s">
        <v>96</v>
      </c>
      <c r="AJ179" s="69" t="s">
        <v>94</v>
      </c>
      <c r="AK179" s="69" t="s">
        <v>94</v>
      </c>
      <c r="AL179" s="14" t="s">
        <v>98</v>
      </c>
    </row>
    <row r="180" spans="34:38" x14ac:dyDescent="0.4">
      <c r="AH180" s="69" t="s">
        <v>97</v>
      </c>
      <c r="AI180" s="69" t="s">
        <v>104</v>
      </c>
      <c r="AJ180" s="69" t="s">
        <v>97</v>
      </c>
      <c r="AK180" s="69" t="s">
        <v>97</v>
      </c>
      <c r="AL180" s="14" t="s">
        <v>98</v>
      </c>
    </row>
    <row r="181" spans="34:38" x14ac:dyDescent="0.4">
      <c r="AH181" s="69" t="s">
        <v>97</v>
      </c>
      <c r="AI181" s="69" t="s">
        <v>104</v>
      </c>
      <c r="AJ181" s="69" t="s">
        <v>97</v>
      </c>
      <c r="AK181" s="69" t="s">
        <v>96</v>
      </c>
      <c r="AL181" s="14" t="s">
        <v>98</v>
      </c>
    </row>
    <row r="182" spans="34:38" x14ac:dyDescent="0.4">
      <c r="AH182" s="69" t="s">
        <v>97</v>
      </c>
      <c r="AI182" s="69" t="s">
        <v>104</v>
      </c>
      <c r="AJ182" s="69" t="s">
        <v>97</v>
      </c>
      <c r="AK182" s="69" t="s">
        <v>104</v>
      </c>
      <c r="AL182" s="14" t="s">
        <v>98</v>
      </c>
    </row>
    <row r="183" spans="34:38" x14ac:dyDescent="0.4">
      <c r="AH183" s="69" t="s">
        <v>97</v>
      </c>
      <c r="AI183" s="69" t="s">
        <v>104</v>
      </c>
      <c r="AJ183" s="69" t="s">
        <v>97</v>
      </c>
      <c r="AK183" s="69" t="s">
        <v>101</v>
      </c>
      <c r="AL183" s="14" t="s">
        <v>98</v>
      </c>
    </row>
    <row r="184" spans="34:38" x14ac:dyDescent="0.4">
      <c r="AH184" s="69" t="s">
        <v>97</v>
      </c>
      <c r="AI184" s="69" t="s">
        <v>104</v>
      </c>
      <c r="AJ184" s="69" t="s">
        <v>97</v>
      </c>
      <c r="AK184" s="69" t="s">
        <v>94</v>
      </c>
      <c r="AL184" s="14" t="s">
        <v>98</v>
      </c>
    </row>
    <row r="185" spans="34:38" x14ac:dyDescent="0.4">
      <c r="AH185" s="69" t="s">
        <v>97</v>
      </c>
      <c r="AI185" s="69" t="s">
        <v>104</v>
      </c>
      <c r="AJ185" s="69" t="s">
        <v>96</v>
      </c>
      <c r="AK185" s="69" t="s">
        <v>97</v>
      </c>
      <c r="AL185" s="14" t="s">
        <v>98</v>
      </c>
    </row>
    <row r="186" spans="34:38" x14ac:dyDescent="0.4">
      <c r="AH186" s="69" t="s">
        <v>97</v>
      </c>
      <c r="AI186" s="69" t="s">
        <v>104</v>
      </c>
      <c r="AJ186" s="69" t="s">
        <v>96</v>
      </c>
      <c r="AK186" s="69" t="s">
        <v>96</v>
      </c>
      <c r="AL186" s="14" t="s">
        <v>98</v>
      </c>
    </row>
    <row r="187" spans="34:38" x14ac:dyDescent="0.4">
      <c r="AH187" s="69" t="s">
        <v>97</v>
      </c>
      <c r="AI187" s="69" t="s">
        <v>104</v>
      </c>
      <c r="AJ187" s="69" t="s">
        <v>96</v>
      </c>
      <c r="AK187" s="69" t="s">
        <v>104</v>
      </c>
      <c r="AL187" s="14" t="s">
        <v>98</v>
      </c>
    </row>
    <row r="188" spans="34:38" x14ac:dyDescent="0.4">
      <c r="AH188" s="69" t="s">
        <v>97</v>
      </c>
      <c r="AI188" s="69" t="s">
        <v>104</v>
      </c>
      <c r="AJ188" s="69" t="s">
        <v>96</v>
      </c>
      <c r="AK188" s="69" t="s">
        <v>101</v>
      </c>
      <c r="AL188" s="14" t="s">
        <v>98</v>
      </c>
    </row>
    <row r="189" spans="34:38" x14ac:dyDescent="0.4">
      <c r="AH189" s="69" t="s">
        <v>97</v>
      </c>
      <c r="AI189" s="69" t="s">
        <v>104</v>
      </c>
      <c r="AJ189" s="69" t="s">
        <v>96</v>
      </c>
      <c r="AK189" s="69" t="s">
        <v>94</v>
      </c>
      <c r="AL189" s="14" t="s">
        <v>98</v>
      </c>
    </row>
    <row r="190" spans="34:38" x14ac:dyDescent="0.4">
      <c r="AH190" s="69" t="s">
        <v>97</v>
      </c>
      <c r="AI190" s="69" t="s">
        <v>104</v>
      </c>
      <c r="AJ190" s="69" t="s">
        <v>104</v>
      </c>
      <c r="AK190" s="69" t="s">
        <v>97</v>
      </c>
      <c r="AL190" s="14" t="s">
        <v>98</v>
      </c>
    </row>
    <row r="191" spans="34:38" x14ac:dyDescent="0.4">
      <c r="AH191" s="69" t="s">
        <v>97</v>
      </c>
      <c r="AI191" s="69" t="s">
        <v>104</v>
      </c>
      <c r="AJ191" s="69" t="s">
        <v>104</v>
      </c>
      <c r="AK191" s="69" t="s">
        <v>96</v>
      </c>
      <c r="AL191" s="14" t="s">
        <v>98</v>
      </c>
    </row>
    <row r="192" spans="34:38" x14ac:dyDescent="0.4">
      <c r="AH192" s="69" t="s">
        <v>97</v>
      </c>
      <c r="AI192" s="69" t="s">
        <v>104</v>
      </c>
      <c r="AJ192" s="69" t="s">
        <v>104</v>
      </c>
      <c r="AK192" s="69" t="s">
        <v>104</v>
      </c>
      <c r="AL192" s="14" t="s">
        <v>98</v>
      </c>
    </row>
    <row r="193" spans="34:38" x14ac:dyDescent="0.4">
      <c r="AH193" s="69" t="s">
        <v>97</v>
      </c>
      <c r="AI193" s="69" t="s">
        <v>104</v>
      </c>
      <c r="AJ193" s="69" t="s">
        <v>104</v>
      </c>
      <c r="AK193" s="69" t="s">
        <v>101</v>
      </c>
      <c r="AL193" s="14" t="s">
        <v>98</v>
      </c>
    </row>
    <row r="194" spans="34:38" x14ac:dyDescent="0.4">
      <c r="AH194" s="69" t="s">
        <v>97</v>
      </c>
      <c r="AI194" s="69" t="s">
        <v>104</v>
      </c>
      <c r="AJ194" s="69" t="s">
        <v>104</v>
      </c>
      <c r="AK194" s="69" t="s">
        <v>94</v>
      </c>
      <c r="AL194" s="14" t="s">
        <v>98</v>
      </c>
    </row>
    <row r="195" spans="34:38" x14ac:dyDescent="0.4">
      <c r="AH195" s="69" t="s">
        <v>97</v>
      </c>
      <c r="AI195" s="69" t="s">
        <v>104</v>
      </c>
      <c r="AJ195" s="69" t="s">
        <v>101</v>
      </c>
      <c r="AK195" s="69" t="s">
        <v>97</v>
      </c>
      <c r="AL195" s="14" t="s">
        <v>98</v>
      </c>
    </row>
    <row r="196" spans="34:38" x14ac:dyDescent="0.4">
      <c r="AH196" s="69" t="s">
        <v>97</v>
      </c>
      <c r="AI196" s="69" t="s">
        <v>104</v>
      </c>
      <c r="AJ196" s="69" t="s">
        <v>101</v>
      </c>
      <c r="AK196" s="69" t="s">
        <v>96</v>
      </c>
      <c r="AL196" s="14" t="s">
        <v>98</v>
      </c>
    </row>
    <row r="197" spans="34:38" x14ac:dyDescent="0.4">
      <c r="AH197" s="69" t="s">
        <v>97</v>
      </c>
      <c r="AI197" s="69" t="s">
        <v>104</v>
      </c>
      <c r="AJ197" s="69" t="s">
        <v>101</v>
      </c>
      <c r="AK197" s="69" t="s">
        <v>104</v>
      </c>
      <c r="AL197" s="14" t="s">
        <v>98</v>
      </c>
    </row>
    <row r="198" spans="34:38" x14ac:dyDescent="0.4">
      <c r="AH198" s="69" t="s">
        <v>97</v>
      </c>
      <c r="AI198" s="69" t="s">
        <v>104</v>
      </c>
      <c r="AJ198" s="69" t="s">
        <v>101</v>
      </c>
      <c r="AK198" s="69" t="s">
        <v>101</v>
      </c>
      <c r="AL198" s="14" t="s">
        <v>98</v>
      </c>
    </row>
    <row r="199" spans="34:38" x14ac:dyDescent="0.4">
      <c r="AH199" s="69" t="s">
        <v>97</v>
      </c>
      <c r="AI199" s="69" t="s">
        <v>104</v>
      </c>
      <c r="AJ199" s="69" t="s">
        <v>101</v>
      </c>
      <c r="AK199" s="69" t="s">
        <v>94</v>
      </c>
      <c r="AL199" s="14" t="s">
        <v>98</v>
      </c>
    </row>
    <row r="200" spans="34:38" x14ac:dyDescent="0.4">
      <c r="AH200" s="69" t="s">
        <v>97</v>
      </c>
      <c r="AI200" s="69" t="s">
        <v>104</v>
      </c>
      <c r="AJ200" s="69" t="s">
        <v>94</v>
      </c>
      <c r="AK200" s="69" t="s">
        <v>97</v>
      </c>
      <c r="AL200" s="14" t="s">
        <v>98</v>
      </c>
    </row>
    <row r="201" spans="34:38" x14ac:dyDescent="0.4">
      <c r="AH201" s="69" t="s">
        <v>97</v>
      </c>
      <c r="AI201" s="69" t="s">
        <v>104</v>
      </c>
      <c r="AJ201" s="69" t="s">
        <v>94</v>
      </c>
      <c r="AK201" s="69" t="s">
        <v>96</v>
      </c>
      <c r="AL201" s="14" t="s">
        <v>98</v>
      </c>
    </row>
    <row r="202" spans="34:38" x14ac:dyDescent="0.4">
      <c r="AH202" s="69" t="s">
        <v>97</v>
      </c>
      <c r="AI202" s="69" t="s">
        <v>104</v>
      </c>
      <c r="AJ202" s="69" t="s">
        <v>94</v>
      </c>
      <c r="AK202" s="69" t="s">
        <v>104</v>
      </c>
      <c r="AL202" s="14" t="s">
        <v>98</v>
      </c>
    </row>
    <row r="203" spans="34:38" x14ac:dyDescent="0.4">
      <c r="AH203" s="69" t="s">
        <v>97</v>
      </c>
      <c r="AI203" s="69" t="s">
        <v>104</v>
      </c>
      <c r="AJ203" s="69" t="s">
        <v>94</v>
      </c>
      <c r="AK203" s="69" t="s">
        <v>101</v>
      </c>
      <c r="AL203" s="14" t="s">
        <v>98</v>
      </c>
    </row>
    <row r="204" spans="34:38" x14ac:dyDescent="0.4">
      <c r="AH204" s="69" t="s">
        <v>97</v>
      </c>
      <c r="AI204" s="69" t="s">
        <v>104</v>
      </c>
      <c r="AJ204" s="69" t="s">
        <v>94</v>
      </c>
      <c r="AK204" s="69" t="s">
        <v>94</v>
      </c>
      <c r="AL204" s="14" t="s">
        <v>98</v>
      </c>
    </row>
    <row r="205" spans="34:38" x14ac:dyDescent="0.4">
      <c r="AH205" s="69" t="s">
        <v>97</v>
      </c>
      <c r="AI205" s="69" t="s">
        <v>101</v>
      </c>
      <c r="AJ205" s="69" t="s">
        <v>97</v>
      </c>
      <c r="AK205" s="69" t="s">
        <v>97</v>
      </c>
      <c r="AL205" s="14" t="s">
        <v>98</v>
      </c>
    </row>
    <row r="206" spans="34:38" x14ac:dyDescent="0.4">
      <c r="AH206" s="69" t="s">
        <v>97</v>
      </c>
      <c r="AI206" s="69" t="s">
        <v>101</v>
      </c>
      <c r="AJ206" s="69" t="s">
        <v>97</v>
      </c>
      <c r="AK206" s="69" t="s">
        <v>96</v>
      </c>
      <c r="AL206" s="14" t="s">
        <v>98</v>
      </c>
    </row>
    <row r="207" spans="34:38" x14ac:dyDescent="0.4">
      <c r="AH207" s="69" t="s">
        <v>97</v>
      </c>
      <c r="AI207" s="69" t="s">
        <v>101</v>
      </c>
      <c r="AJ207" s="69" t="s">
        <v>97</v>
      </c>
      <c r="AK207" s="69" t="s">
        <v>104</v>
      </c>
      <c r="AL207" s="14" t="s">
        <v>98</v>
      </c>
    </row>
    <row r="208" spans="34:38" x14ac:dyDescent="0.4">
      <c r="AH208" s="69" t="s">
        <v>97</v>
      </c>
      <c r="AI208" s="69" t="s">
        <v>101</v>
      </c>
      <c r="AJ208" s="69" t="s">
        <v>97</v>
      </c>
      <c r="AK208" s="69" t="s">
        <v>101</v>
      </c>
      <c r="AL208" s="14" t="s">
        <v>98</v>
      </c>
    </row>
    <row r="209" spans="34:38" x14ac:dyDescent="0.4">
      <c r="AH209" s="69" t="s">
        <v>97</v>
      </c>
      <c r="AI209" s="69" t="s">
        <v>101</v>
      </c>
      <c r="AJ209" s="69" t="s">
        <v>97</v>
      </c>
      <c r="AK209" s="69" t="s">
        <v>94</v>
      </c>
      <c r="AL209" s="14" t="s">
        <v>98</v>
      </c>
    </row>
    <row r="210" spans="34:38" x14ac:dyDescent="0.4">
      <c r="AH210" s="69" t="s">
        <v>97</v>
      </c>
      <c r="AI210" s="69" t="s">
        <v>101</v>
      </c>
      <c r="AJ210" s="69" t="s">
        <v>96</v>
      </c>
      <c r="AK210" s="69" t="s">
        <v>97</v>
      </c>
      <c r="AL210" s="14" t="s">
        <v>98</v>
      </c>
    </row>
    <row r="211" spans="34:38" x14ac:dyDescent="0.4">
      <c r="AH211" s="69" t="s">
        <v>97</v>
      </c>
      <c r="AI211" s="69" t="s">
        <v>101</v>
      </c>
      <c r="AJ211" s="69" t="s">
        <v>96</v>
      </c>
      <c r="AK211" s="69" t="s">
        <v>96</v>
      </c>
      <c r="AL211" s="14" t="s">
        <v>98</v>
      </c>
    </row>
    <row r="212" spans="34:38" x14ac:dyDescent="0.4">
      <c r="AH212" s="69" t="s">
        <v>97</v>
      </c>
      <c r="AI212" s="69" t="s">
        <v>101</v>
      </c>
      <c r="AJ212" s="69" t="s">
        <v>96</v>
      </c>
      <c r="AK212" s="69" t="s">
        <v>104</v>
      </c>
      <c r="AL212" s="14" t="s">
        <v>98</v>
      </c>
    </row>
    <row r="213" spans="34:38" x14ac:dyDescent="0.4">
      <c r="AH213" s="69" t="s">
        <v>97</v>
      </c>
      <c r="AI213" s="69" t="s">
        <v>101</v>
      </c>
      <c r="AJ213" s="69" t="s">
        <v>96</v>
      </c>
      <c r="AK213" s="69" t="s">
        <v>101</v>
      </c>
      <c r="AL213" s="14" t="s">
        <v>98</v>
      </c>
    </row>
    <row r="214" spans="34:38" x14ac:dyDescent="0.4">
      <c r="AH214" s="69" t="s">
        <v>97</v>
      </c>
      <c r="AI214" s="69" t="s">
        <v>101</v>
      </c>
      <c r="AJ214" s="69" t="s">
        <v>96</v>
      </c>
      <c r="AK214" s="69" t="s">
        <v>94</v>
      </c>
      <c r="AL214" s="14" t="s">
        <v>98</v>
      </c>
    </row>
    <row r="215" spans="34:38" x14ac:dyDescent="0.4">
      <c r="AH215" s="69" t="s">
        <v>97</v>
      </c>
      <c r="AI215" s="69" t="s">
        <v>101</v>
      </c>
      <c r="AJ215" s="69" t="s">
        <v>104</v>
      </c>
      <c r="AK215" s="69" t="s">
        <v>97</v>
      </c>
      <c r="AL215" s="14" t="s">
        <v>98</v>
      </c>
    </row>
    <row r="216" spans="34:38" x14ac:dyDescent="0.4">
      <c r="AH216" s="69" t="s">
        <v>97</v>
      </c>
      <c r="AI216" s="69" t="s">
        <v>101</v>
      </c>
      <c r="AJ216" s="69" t="s">
        <v>104</v>
      </c>
      <c r="AK216" s="69" t="s">
        <v>96</v>
      </c>
      <c r="AL216" s="14" t="s">
        <v>98</v>
      </c>
    </row>
    <row r="217" spans="34:38" x14ac:dyDescent="0.4">
      <c r="AH217" s="69" t="s">
        <v>97</v>
      </c>
      <c r="AI217" s="69" t="s">
        <v>101</v>
      </c>
      <c r="AJ217" s="69" t="s">
        <v>104</v>
      </c>
      <c r="AK217" s="69" t="s">
        <v>104</v>
      </c>
      <c r="AL217" s="14" t="s">
        <v>98</v>
      </c>
    </row>
    <row r="218" spans="34:38" x14ac:dyDescent="0.4">
      <c r="AH218" s="69" t="s">
        <v>97</v>
      </c>
      <c r="AI218" s="69" t="s">
        <v>101</v>
      </c>
      <c r="AJ218" s="69" t="s">
        <v>104</v>
      </c>
      <c r="AK218" s="69" t="s">
        <v>101</v>
      </c>
      <c r="AL218" s="14" t="s">
        <v>98</v>
      </c>
    </row>
    <row r="219" spans="34:38" x14ac:dyDescent="0.4">
      <c r="AH219" s="69" t="s">
        <v>97</v>
      </c>
      <c r="AI219" s="69" t="s">
        <v>101</v>
      </c>
      <c r="AJ219" s="69" t="s">
        <v>104</v>
      </c>
      <c r="AK219" s="69" t="s">
        <v>94</v>
      </c>
      <c r="AL219" s="14" t="s">
        <v>98</v>
      </c>
    </row>
    <row r="220" spans="34:38" x14ac:dyDescent="0.4">
      <c r="AH220" s="69" t="s">
        <v>97</v>
      </c>
      <c r="AI220" s="69" t="s">
        <v>101</v>
      </c>
      <c r="AJ220" s="69" t="s">
        <v>101</v>
      </c>
      <c r="AK220" s="69" t="s">
        <v>97</v>
      </c>
      <c r="AL220" s="14" t="s">
        <v>98</v>
      </c>
    </row>
    <row r="221" spans="34:38" x14ac:dyDescent="0.4">
      <c r="AH221" s="69" t="s">
        <v>97</v>
      </c>
      <c r="AI221" s="69" t="s">
        <v>101</v>
      </c>
      <c r="AJ221" s="69" t="s">
        <v>101</v>
      </c>
      <c r="AK221" s="69" t="s">
        <v>96</v>
      </c>
      <c r="AL221" s="14" t="s">
        <v>98</v>
      </c>
    </row>
    <row r="222" spans="34:38" x14ac:dyDescent="0.4">
      <c r="AH222" s="69" t="s">
        <v>97</v>
      </c>
      <c r="AI222" s="69" t="s">
        <v>101</v>
      </c>
      <c r="AJ222" s="69" t="s">
        <v>101</v>
      </c>
      <c r="AK222" s="69" t="s">
        <v>104</v>
      </c>
      <c r="AL222" s="14" t="s">
        <v>98</v>
      </c>
    </row>
    <row r="223" spans="34:38" x14ac:dyDescent="0.4">
      <c r="AH223" s="69" t="s">
        <v>97</v>
      </c>
      <c r="AI223" s="69" t="s">
        <v>101</v>
      </c>
      <c r="AJ223" s="69" t="s">
        <v>101</v>
      </c>
      <c r="AK223" s="69" t="s">
        <v>101</v>
      </c>
      <c r="AL223" s="14" t="s">
        <v>98</v>
      </c>
    </row>
    <row r="224" spans="34:38" x14ac:dyDescent="0.4">
      <c r="AH224" s="69" t="s">
        <v>97</v>
      </c>
      <c r="AI224" s="69" t="s">
        <v>101</v>
      </c>
      <c r="AJ224" s="69" t="s">
        <v>101</v>
      </c>
      <c r="AK224" s="69" t="s">
        <v>94</v>
      </c>
      <c r="AL224" s="14" t="s">
        <v>98</v>
      </c>
    </row>
    <row r="225" spans="34:38" x14ac:dyDescent="0.4">
      <c r="AH225" s="69" t="s">
        <v>97</v>
      </c>
      <c r="AI225" s="69" t="s">
        <v>101</v>
      </c>
      <c r="AJ225" s="69" t="s">
        <v>94</v>
      </c>
      <c r="AK225" s="69" t="s">
        <v>97</v>
      </c>
      <c r="AL225" s="14" t="s">
        <v>98</v>
      </c>
    </row>
    <row r="226" spans="34:38" x14ac:dyDescent="0.4">
      <c r="AH226" s="69" t="s">
        <v>97</v>
      </c>
      <c r="AI226" s="69" t="s">
        <v>101</v>
      </c>
      <c r="AJ226" s="69" t="s">
        <v>94</v>
      </c>
      <c r="AK226" s="69" t="s">
        <v>96</v>
      </c>
      <c r="AL226" s="14" t="s">
        <v>98</v>
      </c>
    </row>
    <row r="227" spans="34:38" x14ac:dyDescent="0.4">
      <c r="AH227" s="69" t="s">
        <v>97</v>
      </c>
      <c r="AI227" s="69" t="s">
        <v>101</v>
      </c>
      <c r="AJ227" s="69" t="s">
        <v>94</v>
      </c>
      <c r="AK227" s="69" t="s">
        <v>104</v>
      </c>
      <c r="AL227" s="14" t="s">
        <v>98</v>
      </c>
    </row>
    <row r="228" spans="34:38" x14ac:dyDescent="0.4">
      <c r="AH228" s="69" t="s">
        <v>97</v>
      </c>
      <c r="AI228" s="69" t="s">
        <v>101</v>
      </c>
      <c r="AJ228" s="69" t="s">
        <v>94</v>
      </c>
      <c r="AK228" s="69" t="s">
        <v>101</v>
      </c>
      <c r="AL228" s="14" t="s">
        <v>98</v>
      </c>
    </row>
    <row r="229" spans="34:38" x14ac:dyDescent="0.4">
      <c r="AH229" s="69" t="s">
        <v>97</v>
      </c>
      <c r="AI229" s="69" t="s">
        <v>101</v>
      </c>
      <c r="AJ229" s="69" t="s">
        <v>94</v>
      </c>
      <c r="AK229" s="69" t="s">
        <v>94</v>
      </c>
      <c r="AL229" s="14" t="s">
        <v>98</v>
      </c>
    </row>
    <row r="230" spans="34:38" x14ac:dyDescent="0.4">
      <c r="AH230" s="69" t="s">
        <v>97</v>
      </c>
      <c r="AI230" s="69" t="s">
        <v>94</v>
      </c>
      <c r="AJ230" s="69" t="s">
        <v>97</v>
      </c>
      <c r="AK230" s="69" t="s">
        <v>97</v>
      </c>
      <c r="AL230" s="14" t="s">
        <v>98</v>
      </c>
    </row>
    <row r="231" spans="34:38" x14ac:dyDescent="0.4">
      <c r="AH231" s="69" t="s">
        <v>97</v>
      </c>
      <c r="AI231" s="69" t="s">
        <v>94</v>
      </c>
      <c r="AJ231" s="69" t="s">
        <v>97</v>
      </c>
      <c r="AK231" s="69" t="s">
        <v>96</v>
      </c>
      <c r="AL231" s="14" t="s">
        <v>98</v>
      </c>
    </row>
    <row r="232" spans="34:38" x14ac:dyDescent="0.4">
      <c r="AH232" s="69" t="s">
        <v>97</v>
      </c>
      <c r="AI232" s="69" t="s">
        <v>94</v>
      </c>
      <c r="AJ232" s="69" t="s">
        <v>97</v>
      </c>
      <c r="AK232" s="69" t="s">
        <v>104</v>
      </c>
      <c r="AL232" s="14" t="s">
        <v>98</v>
      </c>
    </row>
    <row r="233" spans="34:38" x14ac:dyDescent="0.4">
      <c r="AH233" s="69" t="s">
        <v>97</v>
      </c>
      <c r="AI233" s="69" t="s">
        <v>94</v>
      </c>
      <c r="AJ233" s="69" t="s">
        <v>97</v>
      </c>
      <c r="AK233" s="69" t="s">
        <v>101</v>
      </c>
      <c r="AL233" s="14" t="s">
        <v>98</v>
      </c>
    </row>
    <row r="234" spans="34:38" x14ac:dyDescent="0.4">
      <c r="AH234" s="69" t="s">
        <v>97</v>
      </c>
      <c r="AI234" s="69" t="s">
        <v>94</v>
      </c>
      <c r="AJ234" s="69" t="s">
        <v>97</v>
      </c>
      <c r="AK234" s="69" t="s">
        <v>94</v>
      </c>
      <c r="AL234" s="14" t="s">
        <v>98</v>
      </c>
    </row>
    <row r="235" spans="34:38" x14ac:dyDescent="0.4">
      <c r="AH235" s="69" t="s">
        <v>97</v>
      </c>
      <c r="AI235" s="69" t="s">
        <v>94</v>
      </c>
      <c r="AJ235" s="69" t="s">
        <v>96</v>
      </c>
      <c r="AK235" s="69" t="s">
        <v>97</v>
      </c>
      <c r="AL235" s="14" t="s">
        <v>98</v>
      </c>
    </row>
    <row r="236" spans="34:38" x14ac:dyDescent="0.4">
      <c r="AH236" s="69" t="s">
        <v>97</v>
      </c>
      <c r="AI236" s="69" t="s">
        <v>94</v>
      </c>
      <c r="AJ236" s="69" t="s">
        <v>96</v>
      </c>
      <c r="AK236" s="69" t="s">
        <v>96</v>
      </c>
      <c r="AL236" s="14" t="s">
        <v>98</v>
      </c>
    </row>
    <row r="237" spans="34:38" x14ac:dyDescent="0.4">
      <c r="AH237" s="69" t="s">
        <v>97</v>
      </c>
      <c r="AI237" s="69" t="s">
        <v>94</v>
      </c>
      <c r="AJ237" s="69" t="s">
        <v>96</v>
      </c>
      <c r="AK237" s="69" t="s">
        <v>104</v>
      </c>
      <c r="AL237" s="14" t="s">
        <v>98</v>
      </c>
    </row>
    <row r="238" spans="34:38" x14ac:dyDescent="0.4">
      <c r="AH238" s="69" t="s">
        <v>97</v>
      </c>
      <c r="AI238" s="69" t="s">
        <v>94</v>
      </c>
      <c r="AJ238" s="69" t="s">
        <v>96</v>
      </c>
      <c r="AK238" s="69" t="s">
        <v>101</v>
      </c>
      <c r="AL238" s="14" t="s">
        <v>98</v>
      </c>
    </row>
    <row r="239" spans="34:38" x14ac:dyDescent="0.4">
      <c r="AH239" s="69" t="s">
        <v>97</v>
      </c>
      <c r="AI239" s="69" t="s">
        <v>94</v>
      </c>
      <c r="AJ239" s="69" t="s">
        <v>96</v>
      </c>
      <c r="AK239" s="69" t="s">
        <v>94</v>
      </c>
      <c r="AL239" s="14" t="s">
        <v>98</v>
      </c>
    </row>
    <row r="240" spans="34:38" x14ac:dyDescent="0.4">
      <c r="AH240" s="69" t="s">
        <v>97</v>
      </c>
      <c r="AI240" s="69" t="s">
        <v>94</v>
      </c>
      <c r="AJ240" s="69" t="s">
        <v>104</v>
      </c>
      <c r="AK240" s="69" t="s">
        <v>97</v>
      </c>
      <c r="AL240" s="14" t="s">
        <v>98</v>
      </c>
    </row>
    <row r="241" spans="34:38" x14ac:dyDescent="0.4">
      <c r="AH241" s="69" t="s">
        <v>97</v>
      </c>
      <c r="AI241" s="69" t="s">
        <v>94</v>
      </c>
      <c r="AJ241" s="69" t="s">
        <v>104</v>
      </c>
      <c r="AK241" s="69" t="s">
        <v>96</v>
      </c>
      <c r="AL241" s="14" t="s">
        <v>98</v>
      </c>
    </row>
    <row r="242" spans="34:38" x14ac:dyDescent="0.4">
      <c r="AH242" s="69" t="s">
        <v>97</v>
      </c>
      <c r="AI242" s="69" t="s">
        <v>94</v>
      </c>
      <c r="AJ242" s="69" t="s">
        <v>104</v>
      </c>
      <c r="AK242" s="69" t="s">
        <v>104</v>
      </c>
      <c r="AL242" s="14" t="s">
        <v>98</v>
      </c>
    </row>
    <row r="243" spans="34:38" x14ac:dyDescent="0.4">
      <c r="AH243" s="69" t="s">
        <v>97</v>
      </c>
      <c r="AI243" s="69" t="s">
        <v>94</v>
      </c>
      <c r="AJ243" s="69" t="s">
        <v>104</v>
      </c>
      <c r="AK243" s="69" t="s">
        <v>101</v>
      </c>
      <c r="AL243" s="14" t="s">
        <v>98</v>
      </c>
    </row>
    <row r="244" spans="34:38" x14ac:dyDescent="0.4">
      <c r="AH244" s="69" t="s">
        <v>97</v>
      </c>
      <c r="AI244" s="69" t="s">
        <v>94</v>
      </c>
      <c r="AJ244" s="69" t="s">
        <v>104</v>
      </c>
      <c r="AK244" s="69" t="s">
        <v>94</v>
      </c>
      <c r="AL244" s="14" t="s">
        <v>98</v>
      </c>
    </row>
    <row r="245" spans="34:38" x14ac:dyDescent="0.4">
      <c r="AH245" s="69" t="s">
        <v>97</v>
      </c>
      <c r="AI245" s="69" t="s">
        <v>94</v>
      </c>
      <c r="AJ245" s="69" t="s">
        <v>101</v>
      </c>
      <c r="AK245" s="69" t="s">
        <v>97</v>
      </c>
      <c r="AL245" s="14" t="s">
        <v>98</v>
      </c>
    </row>
    <row r="246" spans="34:38" x14ac:dyDescent="0.4">
      <c r="AH246" s="69" t="s">
        <v>97</v>
      </c>
      <c r="AI246" s="69" t="s">
        <v>94</v>
      </c>
      <c r="AJ246" s="69" t="s">
        <v>101</v>
      </c>
      <c r="AK246" s="69" t="s">
        <v>96</v>
      </c>
      <c r="AL246" s="14" t="s">
        <v>98</v>
      </c>
    </row>
    <row r="247" spans="34:38" x14ac:dyDescent="0.4">
      <c r="AH247" s="69" t="s">
        <v>97</v>
      </c>
      <c r="AI247" s="69" t="s">
        <v>94</v>
      </c>
      <c r="AJ247" s="69" t="s">
        <v>101</v>
      </c>
      <c r="AK247" s="69" t="s">
        <v>104</v>
      </c>
      <c r="AL247" s="14" t="s">
        <v>98</v>
      </c>
    </row>
    <row r="248" spans="34:38" x14ac:dyDescent="0.4">
      <c r="AH248" s="69" t="s">
        <v>97</v>
      </c>
      <c r="AI248" s="69" t="s">
        <v>94</v>
      </c>
      <c r="AJ248" s="69" t="s">
        <v>101</v>
      </c>
      <c r="AK248" s="69" t="s">
        <v>101</v>
      </c>
      <c r="AL248" s="14" t="s">
        <v>98</v>
      </c>
    </row>
    <row r="249" spans="34:38" x14ac:dyDescent="0.4">
      <c r="AH249" s="69" t="s">
        <v>97</v>
      </c>
      <c r="AI249" s="69" t="s">
        <v>94</v>
      </c>
      <c r="AJ249" s="69" t="s">
        <v>101</v>
      </c>
      <c r="AK249" s="69" t="s">
        <v>94</v>
      </c>
      <c r="AL249" s="14" t="s">
        <v>98</v>
      </c>
    </row>
    <row r="250" spans="34:38" x14ac:dyDescent="0.4">
      <c r="AH250" s="69" t="s">
        <v>97</v>
      </c>
      <c r="AI250" s="69" t="s">
        <v>94</v>
      </c>
      <c r="AJ250" s="69" t="s">
        <v>94</v>
      </c>
      <c r="AK250" s="69" t="s">
        <v>97</v>
      </c>
      <c r="AL250" s="14" t="s">
        <v>98</v>
      </c>
    </row>
    <row r="251" spans="34:38" x14ac:dyDescent="0.4">
      <c r="AH251" s="69" t="s">
        <v>97</v>
      </c>
      <c r="AI251" s="69" t="s">
        <v>94</v>
      </c>
      <c r="AJ251" s="69" t="s">
        <v>94</v>
      </c>
      <c r="AK251" s="69" t="s">
        <v>96</v>
      </c>
      <c r="AL251" s="14" t="s">
        <v>98</v>
      </c>
    </row>
    <row r="252" spans="34:38" x14ac:dyDescent="0.4">
      <c r="AH252" s="69" t="s">
        <v>97</v>
      </c>
      <c r="AI252" s="69" t="s">
        <v>94</v>
      </c>
      <c r="AJ252" s="69" t="s">
        <v>94</v>
      </c>
      <c r="AK252" s="69" t="s">
        <v>104</v>
      </c>
      <c r="AL252" s="14" t="s">
        <v>98</v>
      </c>
    </row>
    <row r="253" spans="34:38" x14ac:dyDescent="0.4">
      <c r="AH253" s="69" t="s">
        <v>97</v>
      </c>
      <c r="AI253" s="69" t="s">
        <v>94</v>
      </c>
      <c r="AJ253" s="69" t="s">
        <v>94</v>
      </c>
      <c r="AK253" s="69" t="s">
        <v>101</v>
      </c>
      <c r="AL253" s="14" t="s">
        <v>98</v>
      </c>
    </row>
    <row r="254" spans="34:38" x14ac:dyDescent="0.4">
      <c r="AH254" s="69" t="s">
        <v>97</v>
      </c>
      <c r="AI254" s="69" t="s">
        <v>94</v>
      </c>
      <c r="AJ254" s="69" t="s">
        <v>94</v>
      </c>
      <c r="AK254" s="69" t="s">
        <v>94</v>
      </c>
      <c r="AL254" s="14" t="s">
        <v>98</v>
      </c>
    </row>
    <row r="255" spans="34:38" x14ac:dyDescent="0.4">
      <c r="AH255" s="14" t="s">
        <v>104</v>
      </c>
      <c r="AI255" s="14" t="s">
        <v>97</v>
      </c>
      <c r="AJ255" s="14" t="s">
        <v>97</v>
      </c>
      <c r="AK255" s="14" t="s">
        <v>97</v>
      </c>
      <c r="AL255" s="14" t="s">
        <v>98</v>
      </c>
    </row>
    <row r="256" spans="34:38" x14ac:dyDescent="0.4">
      <c r="AH256" s="14" t="s">
        <v>104</v>
      </c>
      <c r="AI256" s="14" t="s">
        <v>97</v>
      </c>
      <c r="AJ256" s="14" t="s">
        <v>97</v>
      </c>
      <c r="AK256" s="14" t="s">
        <v>96</v>
      </c>
      <c r="AL256" s="14" t="s">
        <v>98</v>
      </c>
    </row>
    <row r="257" spans="34:38" x14ac:dyDescent="0.4">
      <c r="AH257" s="14" t="s">
        <v>104</v>
      </c>
      <c r="AI257" s="14" t="s">
        <v>97</v>
      </c>
      <c r="AJ257" s="14" t="s">
        <v>97</v>
      </c>
      <c r="AK257" s="14" t="s">
        <v>104</v>
      </c>
      <c r="AL257" s="14" t="s">
        <v>98</v>
      </c>
    </row>
    <row r="258" spans="34:38" x14ac:dyDescent="0.4">
      <c r="AH258" s="14" t="s">
        <v>104</v>
      </c>
      <c r="AI258" s="14" t="s">
        <v>97</v>
      </c>
      <c r="AJ258" s="14" t="s">
        <v>97</v>
      </c>
      <c r="AK258" s="14" t="s">
        <v>101</v>
      </c>
      <c r="AL258" s="14" t="s">
        <v>98</v>
      </c>
    </row>
    <row r="259" spans="34:38" x14ac:dyDescent="0.4">
      <c r="AH259" s="14" t="s">
        <v>104</v>
      </c>
      <c r="AI259" s="14" t="s">
        <v>97</v>
      </c>
      <c r="AJ259" s="14" t="s">
        <v>97</v>
      </c>
      <c r="AK259" s="14" t="s">
        <v>94</v>
      </c>
      <c r="AL259" s="14" t="s">
        <v>98</v>
      </c>
    </row>
    <row r="260" spans="34:38" x14ac:dyDescent="0.4">
      <c r="AH260" s="14" t="s">
        <v>104</v>
      </c>
      <c r="AI260" s="14" t="s">
        <v>97</v>
      </c>
      <c r="AJ260" s="14" t="s">
        <v>96</v>
      </c>
      <c r="AK260" s="14" t="s">
        <v>97</v>
      </c>
      <c r="AL260" s="14" t="s">
        <v>98</v>
      </c>
    </row>
    <row r="261" spans="34:38" x14ac:dyDescent="0.4">
      <c r="AH261" s="14" t="s">
        <v>104</v>
      </c>
      <c r="AI261" s="14" t="s">
        <v>97</v>
      </c>
      <c r="AJ261" s="14" t="s">
        <v>96</v>
      </c>
      <c r="AK261" s="14" t="s">
        <v>96</v>
      </c>
      <c r="AL261" s="14" t="s">
        <v>98</v>
      </c>
    </row>
    <row r="262" spans="34:38" x14ac:dyDescent="0.4">
      <c r="AH262" s="14" t="s">
        <v>104</v>
      </c>
      <c r="AI262" s="14" t="s">
        <v>97</v>
      </c>
      <c r="AJ262" s="14" t="s">
        <v>96</v>
      </c>
      <c r="AK262" s="14" t="s">
        <v>104</v>
      </c>
      <c r="AL262" s="14" t="s">
        <v>98</v>
      </c>
    </row>
    <row r="263" spans="34:38" x14ac:dyDescent="0.4">
      <c r="AH263" s="14" t="s">
        <v>104</v>
      </c>
      <c r="AI263" s="14" t="s">
        <v>97</v>
      </c>
      <c r="AJ263" s="14" t="s">
        <v>96</v>
      </c>
      <c r="AK263" s="14" t="s">
        <v>101</v>
      </c>
      <c r="AL263" s="14" t="s">
        <v>98</v>
      </c>
    </row>
    <row r="264" spans="34:38" x14ac:dyDescent="0.4">
      <c r="AH264" s="14" t="s">
        <v>104</v>
      </c>
      <c r="AI264" s="14" t="s">
        <v>97</v>
      </c>
      <c r="AJ264" s="14" t="s">
        <v>96</v>
      </c>
      <c r="AK264" s="14" t="s">
        <v>94</v>
      </c>
      <c r="AL264" s="14" t="s">
        <v>98</v>
      </c>
    </row>
    <row r="265" spans="34:38" x14ac:dyDescent="0.4">
      <c r="AH265" s="14" t="s">
        <v>104</v>
      </c>
      <c r="AI265" s="14" t="s">
        <v>97</v>
      </c>
      <c r="AJ265" s="14" t="s">
        <v>104</v>
      </c>
      <c r="AK265" s="14" t="s">
        <v>97</v>
      </c>
      <c r="AL265" s="14" t="s">
        <v>98</v>
      </c>
    </row>
    <row r="266" spans="34:38" x14ac:dyDescent="0.4">
      <c r="AH266" s="14" t="s">
        <v>104</v>
      </c>
      <c r="AI266" s="14" t="s">
        <v>97</v>
      </c>
      <c r="AJ266" s="14" t="s">
        <v>104</v>
      </c>
      <c r="AK266" s="14" t="s">
        <v>96</v>
      </c>
      <c r="AL266" s="14" t="s">
        <v>98</v>
      </c>
    </row>
    <row r="267" spans="34:38" x14ac:dyDescent="0.4">
      <c r="AH267" s="14" t="s">
        <v>104</v>
      </c>
      <c r="AI267" s="14" t="s">
        <v>97</v>
      </c>
      <c r="AJ267" s="14" t="s">
        <v>104</v>
      </c>
      <c r="AK267" s="14" t="s">
        <v>104</v>
      </c>
      <c r="AL267" s="14" t="s">
        <v>98</v>
      </c>
    </row>
    <row r="268" spans="34:38" x14ac:dyDescent="0.4">
      <c r="AH268" s="14" t="s">
        <v>104</v>
      </c>
      <c r="AI268" s="14" t="s">
        <v>97</v>
      </c>
      <c r="AJ268" s="14" t="s">
        <v>104</v>
      </c>
      <c r="AK268" s="14" t="s">
        <v>101</v>
      </c>
      <c r="AL268" s="14" t="s">
        <v>98</v>
      </c>
    </row>
    <row r="269" spans="34:38" x14ac:dyDescent="0.4">
      <c r="AH269" s="14" t="s">
        <v>104</v>
      </c>
      <c r="AI269" s="14" t="s">
        <v>97</v>
      </c>
      <c r="AJ269" s="14" t="s">
        <v>104</v>
      </c>
      <c r="AK269" s="14" t="s">
        <v>94</v>
      </c>
      <c r="AL269" s="14" t="s">
        <v>98</v>
      </c>
    </row>
    <row r="270" spans="34:38" x14ac:dyDescent="0.4">
      <c r="AH270" s="14" t="s">
        <v>104</v>
      </c>
      <c r="AI270" s="14" t="s">
        <v>97</v>
      </c>
      <c r="AJ270" s="14" t="s">
        <v>101</v>
      </c>
      <c r="AK270" s="14" t="s">
        <v>97</v>
      </c>
      <c r="AL270" s="14" t="s">
        <v>98</v>
      </c>
    </row>
    <row r="271" spans="34:38" x14ac:dyDescent="0.4">
      <c r="AH271" s="14" t="s">
        <v>104</v>
      </c>
      <c r="AI271" s="14" t="s">
        <v>97</v>
      </c>
      <c r="AJ271" s="14" t="s">
        <v>101</v>
      </c>
      <c r="AK271" s="14" t="s">
        <v>96</v>
      </c>
      <c r="AL271" s="14" t="s">
        <v>98</v>
      </c>
    </row>
    <row r="272" spans="34:38" x14ac:dyDescent="0.4">
      <c r="AH272" s="14" t="s">
        <v>104</v>
      </c>
      <c r="AI272" s="14" t="s">
        <v>97</v>
      </c>
      <c r="AJ272" s="14" t="s">
        <v>101</v>
      </c>
      <c r="AK272" s="14" t="s">
        <v>104</v>
      </c>
      <c r="AL272" s="14" t="s">
        <v>98</v>
      </c>
    </row>
    <row r="273" spans="34:38" x14ac:dyDescent="0.4">
      <c r="AH273" s="14" t="s">
        <v>104</v>
      </c>
      <c r="AI273" s="14" t="s">
        <v>97</v>
      </c>
      <c r="AJ273" s="14" t="s">
        <v>101</v>
      </c>
      <c r="AK273" s="14" t="s">
        <v>101</v>
      </c>
      <c r="AL273" s="14" t="s">
        <v>98</v>
      </c>
    </row>
    <row r="274" spans="34:38" x14ac:dyDescent="0.4">
      <c r="AH274" s="14" t="s">
        <v>104</v>
      </c>
      <c r="AI274" s="14" t="s">
        <v>97</v>
      </c>
      <c r="AJ274" s="14" t="s">
        <v>101</v>
      </c>
      <c r="AK274" s="14" t="s">
        <v>94</v>
      </c>
      <c r="AL274" s="14" t="s">
        <v>98</v>
      </c>
    </row>
    <row r="275" spans="34:38" x14ac:dyDescent="0.4">
      <c r="AH275" s="14" t="s">
        <v>104</v>
      </c>
      <c r="AI275" s="14" t="s">
        <v>97</v>
      </c>
      <c r="AJ275" s="14" t="s">
        <v>94</v>
      </c>
      <c r="AK275" s="14" t="s">
        <v>97</v>
      </c>
      <c r="AL275" s="14" t="s">
        <v>98</v>
      </c>
    </row>
    <row r="276" spans="34:38" x14ac:dyDescent="0.4">
      <c r="AH276" s="14" t="s">
        <v>104</v>
      </c>
      <c r="AI276" s="14" t="s">
        <v>97</v>
      </c>
      <c r="AJ276" s="14" t="s">
        <v>94</v>
      </c>
      <c r="AK276" s="14" t="s">
        <v>96</v>
      </c>
      <c r="AL276" s="14" t="s">
        <v>98</v>
      </c>
    </row>
    <row r="277" spans="34:38" x14ac:dyDescent="0.4">
      <c r="AH277" s="14" t="s">
        <v>104</v>
      </c>
      <c r="AI277" s="14" t="s">
        <v>97</v>
      </c>
      <c r="AJ277" s="14" t="s">
        <v>94</v>
      </c>
      <c r="AK277" s="14" t="s">
        <v>104</v>
      </c>
      <c r="AL277" s="14" t="s">
        <v>98</v>
      </c>
    </row>
    <row r="278" spans="34:38" x14ac:dyDescent="0.4">
      <c r="AH278" s="14" t="s">
        <v>104</v>
      </c>
      <c r="AI278" s="14" t="s">
        <v>97</v>
      </c>
      <c r="AJ278" s="14" t="s">
        <v>94</v>
      </c>
      <c r="AK278" s="14" t="s">
        <v>101</v>
      </c>
      <c r="AL278" s="14" t="s">
        <v>98</v>
      </c>
    </row>
    <row r="279" spans="34:38" x14ac:dyDescent="0.4">
      <c r="AH279" s="14" t="s">
        <v>104</v>
      </c>
      <c r="AI279" s="14" t="s">
        <v>97</v>
      </c>
      <c r="AJ279" s="14" t="s">
        <v>94</v>
      </c>
      <c r="AK279" s="14" t="s">
        <v>94</v>
      </c>
      <c r="AL279" s="14" t="s">
        <v>98</v>
      </c>
    </row>
    <row r="280" spans="34:38" x14ac:dyDescent="0.4">
      <c r="AH280" s="14" t="s">
        <v>104</v>
      </c>
      <c r="AI280" s="14" t="s">
        <v>96</v>
      </c>
      <c r="AJ280" s="14" t="s">
        <v>97</v>
      </c>
      <c r="AK280" s="14" t="s">
        <v>97</v>
      </c>
      <c r="AL280" s="14" t="s">
        <v>98</v>
      </c>
    </row>
    <row r="281" spans="34:38" x14ac:dyDescent="0.4">
      <c r="AH281" s="14" t="s">
        <v>104</v>
      </c>
      <c r="AI281" s="14" t="s">
        <v>96</v>
      </c>
      <c r="AJ281" s="14" t="s">
        <v>97</v>
      </c>
      <c r="AK281" s="14" t="s">
        <v>96</v>
      </c>
      <c r="AL281" s="14" t="s">
        <v>98</v>
      </c>
    </row>
    <row r="282" spans="34:38" x14ac:dyDescent="0.4">
      <c r="AH282" s="14" t="s">
        <v>104</v>
      </c>
      <c r="AI282" s="14" t="s">
        <v>96</v>
      </c>
      <c r="AJ282" s="14" t="s">
        <v>97</v>
      </c>
      <c r="AK282" s="14" t="s">
        <v>104</v>
      </c>
      <c r="AL282" s="14" t="s">
        <v>98</v>
      </c>
    </row>
    <row r="283" spans="34:38" x14ac:dyDescent="0.4">
      <c r="AH283" s="14" t="s">
        <v>104</v>
      </c>
      <c r="AI283" s="14" t="s">
        <v>96</v>
      </c>
      <c r="AJ283" s="14" t="s">
        <v>97</v>
      </c>
      <c r="AK283" s="14" t="s">
        <v>101</v>
      </c>
      <c r="AL283" s="14" t="s">
        <v>98</v>
      </c>
    </row>
    <row r="284" spans="34:38" x14ac:dyDescent="0.4">
      <c r="AH284" s="14" t="s">
        <v>104</v>
      </c>
      <c r="AI284" s="14" t="s">
        <v>96</v>
      </c>
      <c r="AJ284" s="14" t="s">
        <v>97</v>
      </c>
      <c r="AK284" s="14" t="s">
        <v>94</v>
      </c>
      <c r="AL284" s="14" t="s">
        <v>98</v>
      </c>
    </row>
    <row r="285" spans="34:38" x14ac:dyDescent="0.4">
      <c r="AH285" s="14" t="s">
        <v>104</v>
      </c>
      <c r="AI285" s="14" t="s">
        <v>96</v>
      </c>
      <c r="AJ285" s="14" t="s">
        <v>96</v>
      </c>
      <c r="AK285" s="14" t="s">
        <v>97</v>
      </c>
      <c r="AL285" s="14" t="s">
        <v>98</v>
      </c>
    </row>
    <row r="286" spans="34:38" x14ac:dyDescent="0.4">
      <c r="AH286" s="14" t="s">
        <v>104</v>
      </c>
      <c r="AI286" s="14" t="s">
        <v>96</v>
      </c>
      <c r="AJ286" s="14" t="s">
        <v>96</v>
      </c>
      <c r="AK286" s="14" t="s">
        <v>96</v>
      </c>
      <c r="AL286" s="14" t="s">
        <v>98</v>
      </c>
    </row>
    <row r="287" spans="34:38" x14ac:dyDescent="0.4">
      <c r="AH287" s="14" t="s">
        <v>104</v>
      </c>
      <c r="AI287" s="14" t="s">
        <v>96</v>
      </c>
      <c r="AJ287" s="14" t="s">
        <v>96</v>
      </c>
      <c r="AK287" s="14" t="s">
        <v>104</v>
      </c>
      <c r="AL287" s="14" t="s">
        <v>98</v>
      </c>
    </row>
    <row r="288" spans="34:38" x14ac:dyDescent="0.4">
      <c r="AH288" s="14" t="s">
        <v>104</v>
      </c>
      <c r="AI288" s="14" t="s">
        <v>96</v>
      </c>
      <c r="AJ288" s="14" t="s">
        <v>96</v>
      </c>
      <c r="AK288" s="14" t="s">
        <v>101</v>
      </c>
      <c r="AL288" s="14" t="s">
        <v>98</v>
      </c>
    </row>
    <row r="289" spans="34:38" x14ac:dyDescent="0.4">
      <c r="AH289" s="14" t="s">
        <v>104</v>
      </c>
      <c r="AI289" s="14" t="s">
        <v>96</v>
      </c>
      <c r="AJ289" s="14" t="s">
        <v>96</v>
      </c>
      <c r="AK289" s="14" t="s">
        <v>94</v>
      </c>
      <c r="AL289" s="14" t="s">
        <v>98</v>
      </c>
    </row>
    <row r="290" spans="34:38" x14ac:dyDescent="0.4">
      <c r="AH290" s="14" t="s">
        <v>104</v>
      </c>
      <c r="AI290" s="14" t="s">
        <v>96</v>
      </c>
      <c r="AJ290" s="14" t="s">
        <v>104</v>
      </c>
      <c r="AK290" s="14" t="s">
        <v>97</v>
      </c>
      <c r="AL290" s="14" t="s">
        <v>98</v>
      </c>
    </row>
    <row r="291" spans="34:38" x14ac:dyDescent="0.4">
      <c r="AH291" s="14" t="s">
        <v>104</v>
      </c>
      <c r="AI291" s="14" t="s">
        <v>96</v>
      </c>
      <c r="AJ291" s="14" t="s">
        <v>104</v>
      </c>
      <c r="AK291" s="14" t="s">
        <v>96</v>
      </c>
      <c r="AL291" s="14" t="s">
        <v>98</v>
      </c>
    </row>
    <row r="292" spans="34:38" x14ac:dyDescent="0.4">
      <c r="AH292" s="14" t="s">
        <v>104</v>
      </c>
      <c r="AI292" s="14" t="s">
        <v>96</v>
      </c>
      <c r="AJ292" s="14" t="s">
        <v>104</v>
      </c>
      <c r="AK292" s="14" t="s">
        <v>104</v>
      </c>
      <c r="AL292" s="14" t="s">
        <v>98</v>
      </c>
    </row>
    <row r="293" spans="34:38" x14ac:dyDescent="0.4">
      <c r="AH293" s="14" t="s">
        <v>104</v>
      </c>
      <c r="AI293" s="14" t="s">
        <v>96</v>
      </c>
      <c r="AJ293" s="14" t="s">
        <v>104</v>
      </c>
      <c r="AK293" s="14" t="s">
        <v>101</v>
      </c>
      <c r="AL293" s="14" t="s">
        <v>98</v>
      </c>
    </row>
    <row r="294" spans="34:38" x14ac:dyDescent="0.4">
      <c r="AH294" s="14" t="s">
        <v>104</v>
      </c>
      <c r="AI294" s="14" t="s">
        <v>96</v>
      </c>
      <c r="AJ294" s="14" t="s">
        <v>104</v>
      </c>
      <c r="AK294" s="14" t="s">
        <v>94</v>
      </c>
      <c r="AL294" s="14" t="s">
        <v>98</v>
      </c>
    </row>
    <row r="295" spans="34:38" x14ac:dyDescent="0.4">
      <c r="AH295" s="14" t="s">
        <v>104</v>
      </c>
      <c r="AI295" s="14" t="s">
        <v>96</v>
      </c>
      <c r="AJ295" s="14" t="s">
        <v>101</v>
      </c>
      <c r="AK295" s="14" t="s">
        <v>97</v>
      </c>
      <c r="AL295" s="14" t="s">
        <v>98</v>
      </c>
    </row>
    <row r="296" spans="34:38" x14ac:dyDescent="0.4">
      <c r="AH296" s="14" t="s">
        <v>104</v>
      </c>
      <c r="AI296" s="14" t="s">
        <v>96</v>
      </c>
      <c r="AJ296" s="14" t="s">
        <v>101</v>
      </c>
      <c r="AK296" s="14" t="s">
        <v>96</v>
      </c>
      <c r="AL296" s="14" t="s">
        <v>98</v>
      </c>
    </row>
    <row r="297" spans="34:38" x14ac:dyDescent="0.4">
      <c r="AH297" s="14" t="s">
        <v>104</v>
      </c>
      <c r="AI297" s="14" t="s">
        <v>96</v>
      </c>
      <c r="AJ297" s="14" t="s">
        <v>101</v>
      </c>
      <c r="AK297" s="14" t="s">
        <v>104</v>
      </c>
      <c r="AL297" s="14" t="s">
        <v>98</v>
      </c>
    </row>
    <row r="298" spans="34:38" x14ac:dyDescent="0.4">
      <c r="AH298" s="14" t="s">
        <v>104</v>
      </c>
      <c r="AI298" s="14" t="s">
        <v>96</v>
      </c>
      <c r="AJ298" s="14" t="s">
        <v>101</v>
      </c>
      <c r="AK298" s="14" t="s">
        <v>101</v>
      </c>
      <c r="AL298" s="14" t="s">
        <v>98</v>
      </c>
    </row>
    <row r="299" spans="34:38" x14ac:dyDescent="0.4">
      <c r="AH299" s="14" t="s">
        <v>104</v>
      </c>
      <c r="AI299" s="14" t="s">
        <v>96</v>
      </c>
      <c r="AJ299" s="14" t="s">
        <v>101</v>
      </c>
      <c r="AK299" s="14" t="s">
        <v>94</v>
      </c>
      <c r="AL299" s="14" t="s">
        <v>98</v>
      </c>
    </row>
    <row r="300" spans="34:38" x14ac:dyDescent="0.4">
      <c r="AH300" s="14" t="s">
        <v>104</v>
      </c>
      <c r="AI300" s="14" t="s">
        <v>96</v>
      </c>
      <c r="AJ300" s="14" t="s">
        <v>94</v>
      </c>
      <c r="AK300" s="14" t="s">
        <v>97</v>
      </c>
      <c r="AL300" s="14" t="s">
        <v>98</v>
      </c>
    </row>
    <row r="301" spans="34:38" x14ac:dyDescent="0.4">
      <c r="AH301" s="14" t="s">
        <v>104</v>
      </c>
      <c r="AI301" s="14" t="s">
        <v>96</v>
      </c>
      <c r="AJ301" s="14" t="s">
        <v>94</v>
      </c>
      <c r="AK301" s="14" t="s">
        <v>96</v>
      </c>
      <c r="AL301" s="14" t="s">
        <v>98</v>
      </c>
    </row>
    <row r="302" spans="34:38" x14ac:dyDescent="0.4">
      <c r="AH302" s="14" t="s">
        <v>104</v>
      </c>
      <c r="AI302" s="14" t="s">
        <v>96</v>
      </c>
      <c r="AJ302" s="14" t="s">
        <v>94</v>
      </c>
      <c r="AK302" s="14" t="s">
        <v>104</v>
      </c>
      <c r="AL302" s="14" t="s">
        <v>98</v>
      </c>
    </row>
    <row r="303" spans="34:38" x14ac:dyDescent="0.4">
      <c r="AH303" s="14" t="s">
        <v>104</v>
      </c>
      <c r="AI303" s="14" t="s">
        <v>96</v>
      </c>
      <c r="AJ303" s="14" t="s">
        <v>94</v>
      </c>
      <c r="AK303" s="14" t="s">
        <v>101</v>
      </c>
      <c r="AL303" s="14" t="s">
        <v>98</v>
      </c>
    </row>
    <row r="304" spans="34:38" x14ac:dyDescent="0.4">
      <c r="AH304" s="14" t="s">
        <v>104</v>
      </c>
      <c r="AI304" s="14" t="s">
        <v>96</v>
      </c>
      <c r="AJ304" s="14" t="s">
        <v>94</v>
      </c>
      <c r="AK304" s="14" t="s">
        <v>94</v>
      </c>
      <c r="AL304" s="14" t="s">
        <v>98</v>
      </c>
    </row>
    <row r="305" spans="34:38" x14ac:dyDescent="0.4">
      <c r="AH305" s="14" t="s">
        <v>104</v>
      </c>
      <c r="AI305" s="14" t="s">
        <v>104</v>
      </c>
      <c r="AJ305" s="14" t="s">
        <v>97</v>
      </c>
      <c r="AK305" s="14" t="s">
        <v>97</v>
      </c>
      <c r="AL305" s="14" t="s">
        <v>98</v>
      </c>
    </row>
    <row r="306" spans="34:38" x14ac:dyDescent="0.4">
      <c r="AH306" s="14" t="s">
        <v>104</v>
      </c>
      <c r="AI306" s="14" t="s">
        <v>104</v>
      </c>
      <c r="AJ306" s="14" t="s">
        <v>97</v>
      </c>
      <c r="AK306" s="14" t="s">
        <v>96</v>
      </c>
      <c r="AL306" s="14" t="s">
        <v>98</v>
      </c>
    </row>
    <row r="307" spans="34:38" x14ac:dyDescent="0.4">
      <c r="AH307" s="14" t="s">
        <v>104</v>
      </c>
      <c r="AI307" s="14" t="s">
        <v>104</v>
      </c>
      <c r="AJ307" s="14" t="s">
        <v>97</v>
      </c>
      <c r="AK307" s="14" t="s">
        <v>104</v>
      </c>
      <c r="AL307" s="14" t="s">
        <v>98</v>
      </c>
    </row>
    <row r="308" spans="34:38" x14ac:dyDescent="0.4">
      <c r="AH308" s="14" t="s">
        <v>104</v>
      </c>
      <c r="AI308" s="14" t="s">
        <v>104</v>
      </c>
      <c r="AJ308" s="14" t="s">
        <v>97</v>
      </c>
      <c r="AK308" s="14" t="s">
        <v>101</v>
      </c>
      <c r="AL308" s="14" t="s">
        <v>98</v>
      </c>
    </row>
    <row r="309" spans="34:38" x14ac:dyDescent="0.4">
      <c r="AH309" s="14" t="s">
        <v>104</v>
      </c>
      <c r="AI309" s="14" t="s">
        <v>104</v>
      </c>
      <c r="AJ309" s="14" t="s">
        <v>97</v>
      </c>
      <c r="AK309" s="14" t="s">
        <v>94</v>
      </c>
      <c r="AL309" s="14" t="s">
        <v>98</v>
      </c>
    </row>
    <row r="310" spans="34:38" x14ac:dyDescent="0.4">
      <c r="AH310" s="14" t="s">
        <v>104</v>
      </c>
      <c r="AI310" s="14" t="s">
        <v>104</v>
      </c>
      <c r="AJ310" s="14" t="s">
        <v>96</v>
      </c>
      <c r="AK310" s="14" t="s">
        <v>97</v>
      </c>
      <c r="AL310" s="14" t="s">
        <v>98</v>
      </c>
    </row>
    <row r="311" spans="34:38" x14ac:dyDescent="0.4">
      <c r="AH311" s="14" t="s">
        <v>104</v>
      </c>
      <c r="AI311" s="14" t="s">
        <v>104</v>
      </c>
      <c r="AJ311" s="14" t="s">
        <v>96</v>
      </c>
      <c r="AK311" s="14" t="s">
        <v>96</v>
      </c>
      <c r="AL311" s="14" t="s">
        <v>98</v>
      </c>
    </row>
    <row r="312" spans="34:38" x14ac:dyDescent="0.4">
      <c r="AH312" s="14" t="s">
        <v>104</v>
      </c>
      <c r="AI312" s="14" t="s">
        <v>104</v>
      </c>
      <c r="AJ312" s="14" t="s">
        <v>96</v>
      </c>
      <c r="AK312" s="14" t="s">
        <v>104</v>
      </c>
      <c r="AL312" s="14" t="s">
        <v>98</v>
      </c>
    </row>
    <row r="313" spans="34:38" x14ac:dyDescent="0.4">
      <c r="AH313" s="14" t="s">
        <v>104</v>
      </c>
      <c r="AI313" s="14" t="s">
        <v>104</v>
      </c>
      <c r="AJ313" s="14" t="s">
        <v>96</v>
      </c>
      <c r="AK313" s="14" t="s">
        <v>101</v>
      </c>
      <c r="AL313" s="14" t="s">
        <v>98</v>
      </c>
    </row>
    <row r="314" spans="34:38" x14ac:dyDescent="0.4">
      <c r="AH314" s="14" t="s">
        <v>104</v>
      </c>
      <c r="AI314" s="14" t="s">
        <v>104</v>
      </c>
      <c r="AJ314" s="14" t="s">
        <v>96</v>
      </c>
      <c r="AK314" s="14" t="s">
        <v>94</v>
      </c>
      <c r="AL314" s="14" t="s">
        <v>98</v>
      </c>
    </row>
    <row r="315" spans="34:38" x14ac:dyDescent="0.4">
      <c r="AH315" s="14" t="s">
        <v>104</v>
      </c>
      <c r="AI315" s="14" t="s">
        <v>104</v>
      </c>
      <c r="AJ315" s="14" t="s">
        <v>104</v>
      </c>
      <c r="AK315" s="14" t="s">
        <v>97</v>
      </c>
      <c r="AL315" s="14" t="s">
        <v>98</v>
      </c>
    </row>
    <row r="316" spans="34:38" x14ac:dyDescent="0.4">
      <c r="AH316" s="14" t="s">
        <v>104</v>
      </c>
      <c r="AI316" s="14" t="s">
        <v>104</v>
      </c>
      <c r="AJ316" s="14" t="s">
        <v>104</v>
      </c>
      <c r="AK316" s="14" t="s">
        <v>96</v>
      </c>
      <c r="AL316" s="14" t="s">
        <v>98</v>
      </c>
    </row>
    <row r="317" spans="34:38" x14ac:dyDescent="0.4">
      <c r="AH317" s="14" t="s">
        <v>104</v>
      </c>
      <c r="AI317" s="14" t="s">
        <v>104</v>
      </c>
      <c r="AJ317" s="14" t="s">
        <v>104</v>
      </c>
      <c r="AK317" s="14" t="s">
        <v>104</v>
      </c>
      <c r="AL317" s="14" t="s">
        <v>129</v>
      </c>
    </row>
    <row r="318" spans="34:38" x14ac:dyDescent="0.4">
      <c r="AH318" s="14" t="s">
        <v>104</v>
      </c>
      <c r="AI318" s="14" t="s">
        <v>104</v>
      </c>
      <c r="AJ318" s="14" t="s">
        <v>104</v>
      </c>
      <c r="AK318" s="14" t="s">
        <v>101</v>
      </c>
      <c r="AL318" s="14" t="s">
        <v>129</v>
      </c>
    </row>
    <row r="319" spans="34:38" x14ac:dyDescent="0.4">
      <c r="AH319" s="14" t="s">
        <v>104</v>
      </c>
      <c r="AI319" s="14" t="s">
        <v>104</v>
      </c>
      <c r="AJ319" s="14" t="s">
        <v>104</v>
      </c>
      <c r="AK319" s="14" t="s">
        <v>94</v>
      </c>
      <c r="AL319" s="14" t="s">
        <v>129</v>
      </c>
    </row>
    <row r="320" spans="34:38" x14ac:dyDescent="0.4">
      <c r="AH320" s="14" t="s">
        <v>104</v>
      </c>
      <c r="AI320" s="14" t="s">
        <v>104</v>
      </c>
      <c r="AJ320" s="14" t="s">
        <v>101</v>
      </c>
      <c r="AK320" s="14" t="s">
        <v>97</v>
      </c>
      <c r="AL320" s="14" t="s">
        <v>98</v>
      </c>
    </row>
    <row r="321" spans="34:38" x14ac:dyDescent="0.4">
      <c r="AH321" s="14" t="s">
        <v>104</v>
      </c>
      <c r="AI321" s="14" t="s">
        <v>104</v>
      </c>
      <c r="AJ321" s="14" t="s">
        <v>101</v>
      </c>
      <c r="AK321" s="14" t="s">
        <v>96</v>
      </c>
      <c r="AL321" s="14" t="s">
        <v>98</v>
      </c>
    </row>
    <row r="322" spans="34:38" x14ac:dyDescent="0.4">
      <c r="AH322" s="14" t="s">
        <v>104</v>
      </c>
      <c r="AI322" s="14" t="s">
        <v>104</v>
      </c>
      <c r="AJ322" s="14" t="s">
        <v>101</v>
      </c>
      <c r="AK322" s="14" t="s">
        <v>104</v>
      </c>
      <c r="AL322" s="14" t="s">
        <v>129</v>
      </c>
    </row>
    <row r="323" spans="34:38" x14ac:dyDescent="0.4">
      <c r="AH323" s="14" t="s">
        <v>104</v>
      </c>
      <c r="AI323" s="14" t="s">
        <v>104</v>
      </c>
      <c r="AJ323" s="14" t="s">
        <v>101</v>
      </c>
      <c r="AK323" s="14" t="s">
        <v>101</v>
      </c>
      <c r="AL323" s="14" t="s">
        <v>129</v>
      </c>
    </row>
    <row r="324" spans="34:38" x14ac:dyDescent="0.4">
      <c r="AH324" s="14" t="s">
        <v>104</v>
      </c>
      <c r="AI324" s="14" t="s">
        <v>104</v>
      </c>
      <c r="AJ324" s="14" t="s">
        <v>101</v>
      </c>
      <c r="AK324" s="14" t="s">
        <v>94</v>
      </c>
      <c r="AL324" s="14" t="s">
        <v>129</v>
      </c>
    </row>
    <row r="325" spans="34:38" x14ac:dyDescent="0.4">
      <c r="AH325" s="14" t="s">
        <v>104</v>
      </c>
      <c r="AI325" s="14" t="s">
        <v>104</v>
      </c>
      <c r="AJ325" s="14" t="s">
        <v>94</v>
      </c>
      <c r="AK325" s="14" t="s">
        <v>97</v>
      </c>
      <c r="AL325" s="14" t="s">
        <v>98</v>
      </c>
    </row>
    <row r="326" spans="34:38" x14ac:dyDescent="0.4">
      <c r="AH326" s="14" t="s">
        <v>104</v>
      </c>
      <c r="AI326" s="14" t="s">
        <v>104</v>
      </c>
      <c r="AJ326" s="14" t="s">
        <v>94</v>
      </c>
      <c r="AK326" s="14" t="s">
        <v>96</v>
      </c>
      <c r="AL326" s="14" t="s">
        <v>98</v>
      </c>
    </row>
    <row r="327" spans="34:38" x14ac:dyDescent="0.4">
      <c r="AH327" s="14" t="s">
        <v>104</v>
      </c>
      <c r="AI327" s="14" t="s">
        <v>104</v>
      </c>
      <c r="AJ327" s="14" t="s">
        <v>94</v>
      </c>
      <c r="AK327" s="14" t="s">
        <v>104</v>
      </c>
      <c r="AL327" s="14" t="s">
        <v>129</v>
      </c>
    </row>
    <row r="328" spans="34:38" x14ac:dyDescent="0.4">
      <c r="AH328" s="14" t="s">
        <v>104</v>
      </c>
      <c r="AI328" s="14" t="s">
        <v>104</v>
      </c>
      <c r="AJ328" s="14" t="s">
        <v>94</v>
      </c>
      <c r="AK328" s="14" t="s">
        <v>101</v>
      </c>
      <c r="AL328" s="14" t="s">
        <v>129</v>
      </c>
    </row>
    <row r="329" spans="34:38" x14ac:dyDescent="0.4">
      <c r="AH329" s="14" t="s">
        <v>104</v>
      </c>
      <c r="AI329" s="14" t="s">
        <v>104</v>
      </c>
      <c r="AJ329" s="14" t="s">
        <v>94</v>
      </c>
      <c r="AK329" s="14" t="s">
        <v>94</v>
      </c>
      <c r="AL329" s="14" t="s">
        <v>129</v>
      </c>
    </row>
    <row r="330" spans="34:38" x14ac:dyDescent="0.4">
      <c r="AH330" s="14" t="s">
        <v>104</v>
      </c>
      <c r="AI330" s="14" t="s">
        <v>101</v>
      </c>
      <c r="AJ330" s="14" t="s">
        <v>97</v>
      </c>
      <c r="AK330" s="14" t="s">
        <v>97</v>
      </c>
      <c r="AL330" s="14" t="s">
        <v>98</v>
      </c>
    </row>
    <row r="331" spans="34:38" x14ac:dyDescent="0.4">
      <c r="AH331" s="14" t="s">
        <v>104</v>
      </c>
      <c r="AI331" s="14" t="s">
        <v>101</v>
      </c>
      <c r="AJ331" s="14" t="s">
        <v>97</v>
      </c>
      <c r="AK331" s="14" t="s">
        <v>96</v>
      </c>
      <c r="AL331" s="14" t="s">
        <v>98</v>
      </c>
    </row>
    <row r="332" spans="34:38" x14ac:dyDescent="0.4">
      <c r="AH332" s="14" t="s">
        <v>104</v>
      </c>
      <c r="AI332" s="14" t="s">
        <v>101</v>
      </c>
      <c r="AJ332" s="14" t="s">
        <v>97</v>
      </c>
      <c r="AK332" s="14" t="s">
        <v>104</v>
      </c>
      <c r="AL332" s="14" t="s">
        <v>98</v>
      </c>
    </row>
    <row r="333" spans="34:38" x14ac:dyDescent="0.4">
      <c r="AH333" s="14" t="s">
        <v>104</v>
      </c>
      <c r="AI333" s="14" t="s">
        <v>101</v>
      </c>
      <c r="AJ333" s="14" t="s">
        <v>97</v>
      </c>
      <c r="AK333" s="14" t="s">
        <v>101</v>
      </c>
      <c r="AL333" s="14" t="s">
        <v>98</v>
      </c>
    </row>
    <row r="334" spans="34:38" x14ac:dyDescent="0.4">
      <c r="AH334" s="14" t="s">
        <v>104</v>
      </c>
      <c r="AI334" s="14" t="s">
        <v>101</v>
      </c>
      <c r="AJ334" s="14" t="s">
        <v>97</v>
      </c>
      <c r="AK334" s="14" t="s">
        <v>94</v>
      </c>
      <c r="AL334" s="14" t="s">
        <v>98</v>
      </c>
    </row>
    <row r="335" spans="34:38" x14ac:dyDescent="0.4">
      <c r="AH335" s="14" t="s">
        <v>104</v>
      </c>
      <c r="AI335" s="14" t="s">
        <v>101</v>
      </c>
      <c r="AJ335" s="14" t="s">
        <v>96</v>
      </c>
      <c r="AK335" s="14" t="s">
        <v>97</v>
      </c>
      <c r="AL335" s="14" t="s">
        <v>98</v>
      </c>
    </row>
    <row r="336" spans="34:38" x14ac:dyDescent="0.4">
      <c r="AH336" s="14" t="s">
        <v>104</v>
      </c>
      <c r="AI336" s="14" t="s">
        <v>101</v>
      </c>
      <c r="AJ336" s="14" t="s">
        <v>96</v>
      </c>
      <c r="AK336" s="14" t="s">
        <v>96</v>
      </c>
      <c r="AL336" s="14" t="s">
        <v>98</v>
      </c>
    </row>
    <row r="337" spans="34:38" x14ac:dyDescent="0.4">
      <c r="AH337" s="14" t="s">
        <v>104</v>
      </c>
      <c r="AI337" s="14" t="s">
        <v>101</v>
      </c>
      <c r="AJ337" s="14" t="s">
        <v>96</v>
      </c>
      <c r="AK337" s="14" t="s">
        <v>104</v>
      </c>
      <c r="AL337" s="14" t="s">
        <v>98</v>
      </c>
    </row>
    <row r="338" spans="34:38" x14ac:dyDescent="0.4">
      <c r="AH338" s="14" t="s">
        <v>104</v>
      </c>
      <c r="AI338" s="14" t="s">
        <v>101</v>
      </c>
      <c r="AJ338" s="14" t="s">
        <v>96</v>
      </c>
      <c r="AK338" s="14" t="s">
        <v>101</v>
      </c>
      <c r="AL338" s="14" t="s">
        <v>98</v>
      </c>
    </row>
    <row r="339" spans="34:38" x14ac:dyDescent="0.4">
      <c r="AH339" s="14" t="s">
        <v>104</v>
      </c>
      <c r="AI339" s="14" t="s">
        <v>101</v>
      </c>
      <c r="AJ339" s="14" t="s">
        <v>96</v>
      </c>
      <c r="AK339" s="14" t="s">
        <v>94</v>
      </c>
      <c r="AL339" s="14" t="s">
        <v>98</v>
      </c>
    </row>
    <row r="340" spans="34:38" x14ac:dyDescent="0.4">
      <c r="AH340" s="14" t="s">
        <v>104</v>
      </c>
      <c r="AI340" s="14" t="s">
        <v>101</v>
      </c>
      <c r="AJ340" s="14" t="s">
        <v>104</v>
      </c>
      <c r="AK340" s="14" t="s">
        <v>97</v>
      </c>
      <c r="AL340" s="14" t="s">
        <v>98</v>
      </c>
    </row>
    <row r="341" spans="34:38" x14ac:dyDescent="0.4">
      <c r="AH341" s="14" t="s">
        <v>104</v>
      </c>
      <c r="AI341" s="14" t="s">
        <v>101</v>
      </c>
      <c r="AJ341" s="14" t="s">
        <v>104</v>
      </c>
      <c r="AK341" s="14" t="s">
        <v>96</v>
      </c>
      <c r="AL341" s="14" t="s">
        <v>98</v>
      </c>
    </row>
    <row r="342" spans="34:38" x14ac:dyDescent="0.4">
      <c r="AH342" s="14" t="s">
        <v>104</v>
      </c>
      <c r="AI342" s="14" t="s">
        <v>101</v>
      </c>
      <c r="AJ342" s="14" t="s">
        <v>104</v>
      </c>
      <c r="AK342" s="14" t="s">
        <v>104</v>
      </c>
      <c r="AL342" s="14" t="s">
        <v>129</v>
      </c>
    </row>
    <row r="343" spans="34:38" x14ac:dyDescent="0.4">
      <c r="AH343" s="14" t="s">
        <v>104</v>
      </c>
      <c r="AI343" s="14" t="s">
        <v>101</v>
      </c>
      <c r="AJ343" s="14" t="s">
        <v>104</v>
      </c>
      <c r="AK343" s="14" t="s">
        <v>101</v>
      </c>
      <c r="AL343" s="14" t="s">
        <v>129</v>
      </c>
    </row>
    <row r="344" spans="34:38" x14ac:dyDescent="0.4">
      <c r="AH344" s="14" t="s">
        <v>104</v>
      </c>
      <c r="AI344" s="14" t="s">
        <v>101</v>
      </c>
      <c r="AJ344" s="14" t="s">
        <v>104</v>
      </c>
      <c r="AK344" s="14" t="s">
        <v>94</v>
      </c>
      <c r="AL344" s="14" t="s">
        <v>129</v>
      </c>
    </row>
    <row r="345" spans="34:38" x14ac:dyDescent="0.4">
      <c r="AH345" s="14" t="s">
        <v>104</v>
      </c>
      <c r="AI345" s="14" t="s">
        <v>101</v>
      </c>
      <c r="AJ345" s="14" t="s">
        <v>101</v>
      </c>
      <c r="AK345" s="14" t="s">
        <v>97</v>
      </c>
      <c r="AL345" s="14" t="s">
        <v>98</v>
      </c>
    </row>
    <row r="346" spans="34:38" x14ac:dyDescent="0.4">
      <c r="AH346" s="14" t="s">
        <v>104</v>
      </c>
      <c r="AI346" s="14" t="s">
        <v>101</v>
      </c>
      <c r="AJ346" s="14" t="s">
        <v>101</v>
      </c>
      <c r="AK346" s="14" t="s">
        <v>96</v>
      </c>
      <c r="AL346" s="14" t="s">
        <v>98</v>
      </c>
    </row>
    <row r="347" spans="34:38" x14ac:dyDescent="0.4">
      <c r="AH347" s="14" t="s">
        <v>104</v>
      </c>
      <c r="AI347" s="14" t="s">
        <v>101</v>
      </c>
      <c r="AJ347" s="14" t="s">
        <v>101</v>
      </c>
      <c r="AK347" s="14" t="s">
        <v>104</v>
      </c>
      <c r="AL347" s="14" t="s">
        <v>129</v>
      </c>
    </row>
    <row r="348" spans="34:38" x14ac:dyDescent="0.4">
      <c r="AH348" s="14" t="s">
        <v>104</v>
      </c>
      <c r="AI348" s="14" t="s">
        <v>101</v>
      </c>
      <c r="AJ348" s="14" t="s">
        <v>101</v>
      </c>
      <c r="AK348" s="14" t="s">
        <v>101</v>
      </c>
      <c r="AL348" s="14" t="s">
        <v>129</v>
      </c>
    </row>
    <row r="349" spans="34:38" x14ac:dyDescent="0.4">
      <c r="AH349" s="14" t="s">
        <v>104</v>
      </c>
      <c r="AI349" s="14" t="s">
        <v>101</v>
      </c>
      <c r="AJ349" s="14" t="s">
        <v>101</v>
      </c>
      <c r="AK349" s="14" t="s">
        <v>94</v>
      </c>
      <c r="AL349" s="14" t="s">
        <v>129</v>
      </c>
    </row>
    <row r="350" spans="34:38" x14ac:dyDescent="0.4">
      <c r="AH350" s="14" t="s">
        <v>104</v>
      </c>
      <c r="AI350" s="14" t="s">
        <v>101</v>
      </c>
      <c r="AJ350" s="14" t="s">
        <v>94</v>
      </c>
      <c r="AK350" s="14" t="s">
        <v>97</v>
      </c>
      <c r="AL350" s="14" t="s">
        <v>98</v>
      </c>
    </row>
    <row r="351" spans="34:38" x14ac:dyDescent="0.4">
      <c r="AH351" s="14" t="s">
        <v>104</v>
      </c>
      <c r="AI351" s="14" t="s">
        <v>101</v>
      </c>
      <c r="AJ351" s="14" t="s">
        <v>94</v>
      </c>
      <c r="AK351" s="14" t="s">
        <v>96</v>
      </c>
      <c r="AL351" s="14" t="s">
        <v>98</v>
      </c>
    </row>
    <row r="352" spans="34:38" x14ac:dyDescent="0.4">
      <c r="AH352" s="14" t="s">
        <v>104</v>
      </c>
      <c r="AI352" s="14" t="s">
        <v>101</v>
      </c>
      <c r="AJ352" s="14" t="s">
        <v>94</v>
      </c>
      <c r="AK352" s="14" t="s">
        <v>104</v>
      </c>
      <c r="AL352" s="14" t="s">
        <v>129</v>
      </c>
    </row>
    <row r="353" spans="34:38" x14ac:dyDescent="0.4">
      <c r="AH353" s="14" t="s">
        <v>104</v>
      </c>
      <c r="AI353" s="14" t="s">
        <v>101</v>
      </c>
      <c r="AJ353" s="14" t="s">
        <v>94</v>
      </c>
      <c r="AK353" s="14" t="s">
        <v>101</v>
      </c>
      <c r="AL353" s="14" t="s">
        <v>129</v>
      </c>
    </row>
    <row r="354" spans="34:38" x14ac:dyDescent="0.4">
      <c r="AH354" s="14" t="s">
        <v>104</v>
      </c>
      <c r="AI354" s="14" t="s">
        <v>101</v>
      </c>
      <c r="AJ354" s="14" t="s">
        <v>94</v>
      </c>
      <c r="AK354" s="14" t="s">
        <v>94</v>
      </c>
      <c r="AL354" s="14" t="s">
        <v>129</v>
      </c>
    </row>
    <row r="355" spans="34:38" x14ac:dyDescent="0.4">
      <c r="AH355" s="14" t="s">
        <v>104</v>
      </c>
      <c r="AI355" s="14" t="s">
        <v>94</v>
      </c>
      <c r="AJ355" s="14" t="s">
        <v>97</v>
      </c>
      <c r="AK355" s="14" t="s">
        <v>97</v>
      </c>
      <c r="AL355" s="14" t="s">
        <v>98</v>
      </c>
    </row>
    <row r="356" spans="34:38" x14ac:dyDescent="0.4">
      <c r="AH356" s="14" t="s">
        <v>104</v>
      </c>
      <c r="AI356" s="14" t="s">
        <v>94</v>
      </c>
      <c r="AJ356" s="14" t="s">
        <v>97</v>
      </c>
      <c r="AK356" s="14" t="s">
        <v>96</v>
      </c>
      <c r="AL356" s="14" t="s">
        <v>98</v>
      </c>
    </row>
    <row r="357" spans="34:38" x14ac:dyDescent="0.4">
      <c r="AH357" s="14" t="s">
        <v>104</v>
      </c>
      <c r="AI357" s="14" t="s">
        <v>94</v>
      </c>
      <c r="AJ357" s="14" t="s">
        <v>97</v>
      </c>
      <c r="AK357" s="14" t="s">
        <v>104</v>
      </c>
      <c r="AL357" s="14" t="s">
        <v>129</v>
      </c>
    </row>
    <row r="358" spans="34:38" x14ac:dyDescent="0.4">
      <c r="AH358" s="14" t="s">
        <v>104</v>
      </c>
      <c r="AI358" s="14" t="s">
        <v>94</v>
      </c>
      <c r="AJ358" s="14" t="s">
        <v>97</v>
      </c>
      <c r="AK358" s="14" t="s">
        <v>101</v>
      </c>
      <c r="AL358" s="14" t="s">
        <v>129</v>
      </c>
    </row>
    <row r="359" spans="34:38" x14ac:dyDescent="0.4">
      <c r="AH359" s="14" t="s">
        <v>104</v>
      </c>
      <c r="AI359" s="14" t="s">
        <v>94</v>
      </c>
      <c r="AJ359" s="14" t="s">
        <v>97</v>
      </c>
      <c r="AK359" s="14" t="s">
        <v>94</v>
      </c>
      <c r="AL359" s="14" t="s">
        <v>129</v>
      </c>
    </row>
    <row r="360" spans="34:38" x14ac:dyDescent="0.4">
      <c r="AH360" s="14" t="s">
        <v>104</v>
      </c>
      <c r="AI360" s="14" t="s">
        <v>94</v>
      </c>
      <c r="AJ360" s="14" t="s">
        <v>96</v>
      </c>
      <c r="AK360" s="14" t="s">
        <v>97</v>
      </c>
      <c r="AL360" s="14" t="s">
        <v>98</v>
      </c>
    </row>
    <row r="361" spans="34:38" x14ac:dyDescent="0.4">
      <c r="AH361" s="14" t="s">
        <v>104</v>
      </c>
      <c r="AI361" s="14" t="s">
        <v>94</v>
      </c>
      <c r="AJ361" s="14" t="s">
        <v>96</v>
      </c>
      <c r="AK361" s="14" t="s">
        <v>96</v>
      </c>
      <c r="AL361" s="14" t="s">
        <v>98</v>
      </c>
    </row>
    <row r="362" spans="34:38" x14ac:dyDescent="0.4">
      <c r="AH362" s="14" t="s">
        <v>104</v>
      </c>
      <c r="AI362" s="14" t="s">
        <v>94</v>
      </c>
      <c r="AJ362" s="14" t="s">
        <v>96</v>
      </c>
      <c r="AK362" s="14" t="s">
        <v>104</v>
      </c>
      <c r="AL362" s="14" t="s">
        <v>98</v>
      </c>
    </row>
    <row r="363" spans="34:38" x14ac:dyDescent="0.4">
      <c r="AH363" s="14" t="s">
        <v>104</v>
      </c>
      <c r="AI363" s="14" t="s">
        <v>94</v>
      </c>
      <c r="AJ363" s="14" t="s">
        <v>96</v>
      </c>
      <c r="AK363" s="14" t="s">
        <v>101</v>
      </c>
      <c r="AL363" s="14" t="s">
        <v>98</v>
      </c>
    </row>
    <row r="364" spans="34:38" x14ac:dyDescent="0.4">
      <c r="AH364" s="14" t="s">
        <v>104</v>
      </c>
      <c r="AI364" s="14" t="s">
        <v>94</v>
      </c>
      <c r="AJ364" s="14" t="s">
        <v>96</v>
      </c>
      <c r="AK364" s="14" t="s">
        <v>94</v>
      </c>
      <c r="AL364" s="14" t="s">
        <v>98</v>
      </c>
    </row>
    <row r="365" spans="34:38" x14ac:dyDescent="0.4">
      <c r="AH365" s="14" t="s">
        <v>104</v>
      </c>
      <c r="AI365" s="14" t="s">
        <v>94</v>
      </c>
      <c r="AJ365" s="14" t="s">
        <v>104</v>
      </c>
      <c r="AK365" s="14" t="s">
        <v>97</v>
      </c>
      <c r="AL365" s="14" t="s">
        <v>98</v>
      </c>
    </row>
    <row r="366" spans="34:38" x14ac:dyDescent="0.4">
      <c r="AH366" s="14" t="s">
        <v>104</v>
      </c>
      <c r="AI366" s="14" t="s">
        <v>94</v>
      </c>
      <c r="AJ366" s="14" t="s">
        <v>104</v>
      </c>
      <c r="AK366" s="14" t="s">
        <v>96</v>
      </c>
      <c r="AL366" s="14" t="s">
        <v>98</v>
      </c>
    </row>
    <row r="367" spans="34:38" x14ac:dyDescent="0.4">
      <c r="AH367" s="14" t="s">
        <v>104</v>
      </c>
      <c r="AI367" s="14" t="s">
        <v>94</v>
      </c>
      <c r="AJ367" s="14" t="s">
        <v>104</v>
      </c>
      <c r="AK367" s="14" t="s">
        <v>104</v>
      </c>
      <c r="AL367" s="14" t="s">
        <v>129</v>
      </c>
    </row>
    <row r="368" spans="34:38" x14ac:dyDescent="0.4">
      <c r="AH368" s="14" t="s">
        <v>104</v>
      </c>
      <c r="AI368" s="14" t="s">
        <v>94</v>
      </c>
      <c r="AJ368" s="14" t="s">
        <v>104</v>
      </c>
      <c r="AK368" s="14" t="s">
        <v>101</v>
      </c>
      <c r="AL368" s="14" t="s">
        <v>129</v>
      </c>
    </row>
    <row r="369" spans="34:38" x14ac:dyDescent="0.4">
      <c r="AH369" s="14" t="s">
        <v>104</v>
      </c>
      <c r="AI369" s="14" t="s">
        <v>94</v>
      </c>
      <c r="AJ369" s="14" t="s">
        <v>104</v>
      </c>
      <c r="AK369" s="14" t="s">
        <v>94</v>
      </c>
      <c r="AL369" s="14" t="s">
        <v>129</v>
      </c>
    </row>
    <row r="370" spans="34:38" x14ac:dyDescent="0.4">
      <c r="AH370" s="14" t="s">
        <v>104</v>
      </c>
      <c r="AI370" s="14" t="s">
        <v>94</v>
      </c>
      <c r="AJ370" s="14" t="s">
        <v>101</v>
      </c>
      <c r="AK370" s="14" t="s">
        <v>97</v>
      </c>
      <c r="AL370" s="14" t="s">
        <v>98</v>
      </c>
    </row>
    <row r="371" spans="34:38" x14ac:dyDescent="0.4">
      <c r="AH371" s="14" t="s">
        <v>104</v>
      </c>
      <c r="AI371" s="14" t="s">
        <v>94</v>
      </c>
      <c r="AJ371" s="14" t="s">
        <v>101</v>
      </c>
      <c r="AK371" s="14" t="s">
        <v>96</v>
      </c>
      <c r="AL371" s="14" t="s">
        <v>98</v>
      </c>
    </row>
    <row r="372" spans="34:38" x14ac:dyDescent="0.4">
      <c r="AH372" s="14" t="s">
        <v>104</v>
      </c>
      <c r="AI372" s="14" t="s">
        <v>94</v>
      </c>
      <c r="AJ372" s="14" t="s">
        <v>101</v>
      </c>
      <c r="AK372" s="14" t="s">
        <v>104</v>
      </c>
      <c r="AL372" s="14" t="s">
        <v>129</v>
      </c>
    </row>
    <row r="373" spans="34:38" x14ac:dyDescent="0.4">
      <c r="AH373" s="14" t="s">
        <v>104</v>
      </c>
      <c r="AI373" s="14" t="s">
        <v>94</v>
      </c>
      <c r="AJ373" s="14" t="s">
        <v>101</v>
      </c>
      <c r="AK373" s="14" t="s">
        <v>101</v>
      </c>
      <c r="AL373" s="14" t="s">
        <v>129</v>
      </c>
    </row>
    <row r="374" spans="34:38" x14ac:dyDescent="0.4">
      <c r="AH374" s="14" t="s">
        <v>104</v>
      </c>
      <c r="AI374" s="14" t="s">
        <v>94</v>
      </c>
      <c r="AJ374" s="14" t="s">
        <v>101</v>
      </c>
      <c r="AK374" s="14" t="s">
        <v>94</v>
      </c>
      <c r="AL374" s="14" t="s">
        <v>129</v>
      </c>
    </row>
    <row r="375" spans="34:38" x14ac:dyDescent="0.4">
      <c r="AH375" s="14" t="s">
        <v>104</v>
      </c>
      <c r="AI375" s="14" t="s">
        <v>94</v>
      </c>
      <c r="AJ375" s="14" t="s">
        <v>94</v>
      </c>
      <c r="AK375" s="14" t="s">
        <v>97</v>
      </c>
      <c r="AL375" s="14" t="s">
        <v>98</v>
      </c>
    </row>
    <row r="376" spans="34:38" x14ac:dyDescent="0.4">
      <c r="AH376" s="14" t="s">
        <v>104</v>
      </c>
      <c r="AI376" s="14" t="s">
        <v>94</v>
      </c>
      <c r="AJ376" s="14" t="s">
        <v>94</v>
      </c>
      <c r="AK376" s="14" t="s">
        <v>96</v>
      </c>
      <c r="AL376" s="14" t="s">
        <v>98</v>
      </c>
    </row>
    <row r="377" spans="34:38" x14ac:dyDescent="0.4">
      <c r="AH377" s="14" t="s">
        <v>104</v>
      </c>
      <c r="AI377" s="14" t="s">
        <v>94</v>
      </c>
      <c r="AJ377" s="14" t="s">
        <v>94</v>
      </c>
      <c r="AK377" s="14" t="s">
        <v>104</v>
      </c>
      <c r="AL377" s="14" t="s">
        <v>129</v>
      </c>
    </row>
    <row r="378" spans="34:38" x14ac:dyDescent="0.4">
      <c r="AH378" s="14" t="s">
        <v>104</v>
      </c>
      <c r="AI378" s="14" t="s">
        <v>94</v>
      </c>
      <c r="AJ378" s="14" t="s">
        <v>94</v>
      </c>
      <c r="AK378" s="14" t="s">
        <v>101</v>
      </c>
      <c r="AL378" s="14" t="s">
        <v>129</v>
      </c>
    </row>
    <row r="379" spans="34:38" x14ac:dyDescent="0.4">
      <c r="AH379" s="14" t="s">
        <v>104</v>
      </c>
      <c r="AI379" s="14" t="s">
        <v>94</v>
      </c>
      <c r="AJ379" s="14" t="s">
        <v>94</v>
      </c>
      <c r="AK379" s="14" t="s">
        <v>94</v>
      </c>
      <c r="AL379" s="14" t="s">
        <v>129</v>
      </c>
    </row>
    <row r="380" spans="34:38" x14ac:dyDescent="0.4">
      <c r="AH380" s="71" t="s">
        <v>101</v>
      </c>
      <c r="AI380" s="71" t="s">
        <v>97</v>
      </c>
      <c r="AJ380" s="71" t="s">
        <v>97</v>
      </c>
      <c r="AK380" s="71" t="s">
        <v>97</v>
      </c>
      <c r="AL380" s="14" t="s">
        <v>98</v>
      </c>
    </row>
    <row r="381" spans="34:38" x14ac:dyDescent="0.4">
      <c r="AH381" s="71" t="s">
        <v>101</v>
      </c>
      <c r="AI381" s="71" t="s">
        <v>97</v>
      </c>
      <c r="AJ381" s="71" t="s">
        <v>97</v>
      </c>
      <c r="AK381" s="71" t="s">
        <v>96</v>
      </c>
      <c r="AL381" s="14" t="s">
        <v>98</v>
      </c>
    </row>
    <row r="382" spans="34:38" x14ac:dyDescent="0.4">
      <c r="AH382" s="71" t="s">
        <v>101</v>
      </c>
      <c r="AI382" s="71" t="s">
        <v>97</v>
      </c>
      <c r="AJ382" s="71" t="s">
        <v>97</v>
      </c>
      <c r="AK382" s="71" t="s">
        <v>104</v>
      </c>
      <c r="AL382" s="14" t="s">
        <v>98</v>
      </c>
    </row>
    <row r="383" spans="34:38" x14ac:dyDescent="0.4">
      <c r="AH383" s="71" t="s">
        <v>101</v>
      </c>
      <c r="AI383" s="71" t="s">
        <v>97</v>
      </c>
      <c r="AJ383" s="71" t="s">
        <v>97</v>
      </c>
      <c r="AK383" s="71" t="s">
        <v>101</v>
      </c>
      <c r="AL383" s="14" t="s">
        <v>98</v>
      </c>
    </row>
    <row r="384" spans="34:38" x14ac:dyDescent="0.4">
      <c r="AH384" s="71" t="s">
        <v>101</v>
      </c>
      <c r="AI384" s="71" t="s">
        <v>97</v>
      </c>
      <c r="AJ384" s="71" t="s">
        <v>97</v>
      </c>
      <c r="AK384" s="71" t="s">
        <v>94</v>
      </c>
      <c r="AL384" s="14" t="s">
        <v>98</v>
      </c>
    </row>
    <row r="385" spans="34:38" x14ac:dyDescent="0.4">
      <c r="AH385" s="71" t="s">
        <v>101</v>
      </c>
      <c r="AI385" s="71" t="s">
        <v>97</v>
      </c>
      <c r="AJ385" s="71" t="s">
        <v>96</v>
      </c>
      <c r="AK385" s="71" t="s">
        <v>97</v>
      </c>
      <c r="AL385" s="14" t="s">
        <v>98</v>
      </c>
    </row>
    <row r="386" spans="34:38" x14ac:dyDescent="0.4">
      <c r="AH386" s="71" t="s">
        <v>101</v>
      </c>
      <c r="AI386" s="71" t="s">
        <v>97</v>
      </c>
      <c r="AJ386" s="71" t="s">
        <v>96</v>
      </c>
      <c r="AK386" s="71" t="s">
        <v>96</v>
      </c>
      <c r="AL386" s="14" t="s">
        <v>98</v>
      </c>
    </row>
    <row r="387" spans="34:38" x14ac:dyDescent="0.4">
      <c r="AH387" s="71" t="s">
        <v>101</v>
      </c>
      <c r="AI387" s="71" t="s">
        <v>97</v>
      </c>
      <c r="AJ387" s="71" t="s">
        <v>96</v>
      </c>
      <c r="AK387" s="71" t="s">
        <v>104</v>
      </c>
      <c r="AL387" s="14" t="s">
        <v>98</v>
      </c>
    </row>
    <row r="388" spans="34:38" x14ac:dyDescent="0.4">
      <c r="AH388" s="71" t="s">
        <v>101</v>
      </c>
      <c r="AI388" s="71" t="s">
        <v>97</v>
      </c>
      <c r="AJ388" s="71" t="s">
        <v>96</v>
      </c>
      <c r="AK388" s="71" t="s">
        <v>101</v>
      </c>
      <c r="AL388" s="14" t="s">
        <v>98</v>
      </c>
    </row>
    <row r="389" spans="34:38" x14ac:dyDescent="0.4">
      <c r="AH389" s="71" t="s">
        <v>101</v>
      </c>
      <c r="AI389" s="71" t="s">
        <v>97</v>
      </c>
      <c r="AJ389" s="71" t="s">
        <v>96</v>
      </c>
      <c r="AK389" s="71" t="s">
        <v>94</v>
      </c>
      <c r="AL389" s="14" t="s">
        <v>98</v>
      </c>
    </row>
    <row r="390" spans="34:38" x14ac:dyDescent="0.4">
      <c r="AH390" s="71" t="s">
        <v>101</v>
      </c>
      <c r="AI390" s="71" t="s">
        <v>97</v>
      </c>
      <c r="AJ390" s="71" t="s">
        <v>104</v>
      </c>
      <c r="AK390" s="71" t="s">
        <v>97</v>
      </c>
      <c r="AL390" s="14" t="s">
        <v>98</v>
      </c>
    </row>
    <row r="391" spans="34:38" x14ac:dyDescent="0.4">
      <c r="AH391" s="71" t="s">
        <v>101</v>
      </c>
      <c r="AI391" s="71" t="s">
        <v>97</v>
      </c>
      <c r="AJ391" s="71" t="s">
        <v>104</v>
      </c>
      <c r="AK391" s="71" t="s">
        <v>96</v>
      </c>
      <c r="AL391" s="14" t="s">
        <v>98</v>
      </c>
    </row>
    <row r="392" spans="34:38" x14ac:dyDescent="0.4">
      <c r="AH392" s="71" t="s">
        <v>101</v>
      </c>
      <c r="AI392" s="71" t="s">
        <v>97</v>
      </c>
      <c r="AJ392" s="71" t="s">
        <v>104</v>
      </c>
      <c r="AK392" s="71" t="s">
        <v>104</v>
      </c>
      <c r="AL392" s="14" t="s">
        <v>98</v>
      </c>
    </row>
    <row r="393" spans="34:38" x14ac:dyDescent="0.4">
      <c r="AH393" s="71" t="s">
        <v>101</v>
      </c>
      <c r="AI393" s="71" t="s">
        <v>97</v>
      </c>
      <c r="AJ393" s="71" t="s">
        <v>104</v>
      </c>
      <c r="AK393" s="71" t="s">
        <v>101</v>
      </c>
      <c r="AL393" s="14" t="s">
        <v>98</v>
      </c>
    </row>
    <row r="394" spans="34:38" x14ac:dyDescent="0.4">
      <c r="AH394" s="71" t="s">
        <v>101</v>
      </c>
      <c r="AI394" s="71" t="s">
        <v>97</v>
      </c>
      <c r="AJ394" s="71" t="s">
        <v>104</v>
      </c>
      <c r="AK394" s="71" t="s">
        <v>94</v>
      </c>
      <c r="AL394" s="14" t="s">
        <v>98</v>
      </c>
    </row>
    <row r="395" spans="34:38" x14ac:dyDescent="0.4">
      <c r="AH395" s="71" t="s">
        <v>101</v>
      </c>
      <c r="AI395" s="71" t="s">
        <v>97</v>
      </c>
      <c r="AJ395" s="71" t="s">
        <v>101</v>
      </c>
      <c r="AK395" s="71" t="s">
        <v>97</v>
      </c>
      <c r="AL395" s="14" t="s">
        <v>98</v>
      </c>
    </row>
    <row r="396" spans="34:38" x14ac:dyDescent="0.4">
      <c r="AH396" s="71" t="s">
        <v>101</v>
      </c>
      <c r="AI396" s="71" t="s">
        <v>97</v>
      </c>
      <c r="AJ396" s="71" t="s">
        <v>101</v>
      </c>
      <c r="AK396" s="71" t="s">
        <v>96</v>
      </c>
      <c r="AL396" s="14" t="s">
        <v>98</v>
      </c>
    </row>
    <row r="397" spans="34:38" x14ac:dyDescent="0.4">
      <c r="AH397" s="71" t="s">
        <v>101</v>
      </c>
      <c r="AI397" s="71" t="s">
        <v>97</v>
      </c>
      <c r="AJ397" s="71" t="s">
        <v>101</v>
      </c>
      <c r="AK397" s="71" t="s">
        <v>104</v>
      </c>
      <c r="AL397" s="14" t="s">
        <v>98</v>
      </c>
    </row>
    <row r="398" spans="34:38" x14ac:dyDescent="0.4">
      <c r="AH398" s="71" t="s">
        <v>101</v>
      </c>
      <c r="AI398" s="71" t="s">
        <v>97</v>
      </c>
      <c r="AJ398" s="71" t="s">
        <v>101</v>
      </c>
      <c r="AK398" s="71" t="s">
        <v>101</v>
      </c>
      <c r="AL398" s="14" t="s">
        <v>98</v>
      </c>
    </row>
    <row r="399" spans="34:38" x14ac:dyDescent="0.4">
      <c r="AH399" s="71" t="s">
        <v>101</v>
      </c>
      <c r="AI399" s="71" t="s">
        <v>97</v>
      </c>
      <c r="AJ399" s="71" t="s">
        <v>101</v>
      </c>
      <c r="AK399" s="71" t="s">
        <v>94</v>
      </c>
      <c r="AL399" s="14" t="s">
        <v>98</v>
      </c>
    </row>
    <row r="400" spans="34:38" x14ac:dyDescent="0.4">
      <c r="AH400" s="71" t="s">
        <v>101</v>
      </c>
      <c r="AI400" s="71" t="s">
        <v>97</v>
      </c>
      <c r="AJ400" s="71" t="s">
        <v>94</v>
      </c>
      <c r="AK400" s="71" t="s">
        <v>97</v>
      </c>
      <c r="AL400" s="14" t="s">
        <v>98</v>
      </c>
    </row>
    <row r="401" spans="34:38" x14ac:dyDescent="0.4">
      <c r="AH401" s="71" t="s">
        <v>101</v>
      </c>
      <c r="AI401" s="71" t="s">
        <v>97</v>
      </c>
      <c r="AJ401" s="71" t="s">
        <v>94</v>
      </c>
      <c r="AK401" s="71" t="s">
        <v>96</v>
      </c>
      <c r="AL401" s="14" t="s">
        <v>98</v>
      </c>
    </row>
    <row r="402" spans="34:38" x14ac:dyDescent="0.4">
      <c r="AH402" s="71" t="s">
        <v>101</v>
      </c>
      <c r="AI402" s="71" t="s">
        <v>97</v>
      </c>
      <c r="AJ402" s="71" t="s">
        <v>94</v>
      </c>
      <c r="AK402" s="71" t="s">
        <v>104</v>
      </c>
      <c r="AL402" s="14" t="s">
        <v>98</v>
      </c>
    </row>
    <row r="403" spans="34:38" x14ac:dyDescent="0.4">
      <c r="AH403" s="71" t="s">
        <v>101</v>
      </c>
      <c r="AI403" s="71" t="s">
        <v>97</v>
      </c>
      <c r="AJ403" s="71" t="s">
        <v>94</v>
      </c>
      <c r="AK403" s="71" t="s">
        <v>101</v>
      </c>
      <c r="AL403" s="14" t="s">
        <v>98</v>
      </c>
    </row>
    <row r="404" spans="34:38" x14ac:dyDescent="0.4">
      <c r="AH404" s="71" t="s">
        <v>101</v>
      </c>
      <c r="AI404" s="71" t="s">
        <v>97</v>
      </c>
      <c r="AJ404" s="71" t="s">
        <v>94</v>
      </c>
      <c r="AK404" s="71" t="s">
        <v>94</v>
      </c>
      <c r="AL404" s="14" t="s">
        <v>98</v>
      </c>
    </row>
    <row r="405" spans="34:38" x14ac:dyDescent="0.4">
      <c r="AH405" s="71" t="s">
        <v>101</v>
      </c>
      <c r="AI405" s="71" t="s">
        <v>96</v>
      </c>
      <c r="AJ405" s="71" t="s">
        <v>97</v>
      </c>
      <c r="AK405" s="71" t="s">
        <v>97</v>
      </c>
      <c r="AL405" s="14" t="s">
        <v>98</v>
      </c>
    </row>
    <row r="406" spans="34:38" x14ac:dyDescent="0.4">
      <c r="AH406" s="71" t="s">
        <v>101</v>
      </c>
      <c r="AI406" s="71" t="s">
        <v>96</v>
      </c>
      <c r="AJ406" s="71" t="s">
        <v>97</v>
      </c>
      <c r="AK406" s="71" t="s">
        <v>96</v>
      </c>
      <c r="AL406" s="14" t="s">
        <v>98</v>
      </c>
    </row>
    <row r="407" spans="34:38" x14ac:dyDescent="0.4">
      <c r="AH407" s="71" t="s">
        <v>101</v>
      </c>
      <c r="AI407" s="71" t="s">
        <v>96</v>
      </c>
      <c r="AJ407" s="71" t="s">
        <v>97</v>
      </c>
      <c r="AK407" s="71" t="s">
        <v>104</v>
      </c>
      <c r="AL407" s="14" t="s">
        <v>98</v>
      </c>
    </row>
    <row r="408" spans="34:38" x14ac:dyDescent="0.4">
      <c r="AH408" s="71" t="s">
        <v>101</v>
      </c>
      <c r="AI408" s="71" t="s">
        <v>96</v>
      </c>
      <c r="AJ408" s="71" t="s">
        <v>97</v>
      </c>
      <c r="AK408" s="71" t="s">
        <v>101</v>
      </c>
      <c r="AL408" s="14" t="s">
        <v>98</v>
      </c>
    </row>
    <row r="409" spans="34:38" x14ac:dyDescent="0.4">
      <c r="AH409" s="71" t="s">
        <v>101</v>
      </c>
      <c r="AI409" s="71" t="s">
        <v>96</v>
      </c>
      <c r="AJ409" s="71" t="s">
        <v>97</v>
      </c>
      <c r="AK409" s="71" t="s">
        <v>94</v>
      </c>
      <c r="AL409" s="14" t="s">
        <v>98</v>
      </c>
    </row>
    <row r="410" spans="34:38" x14ac:dyDescent="0.4">
      <c r="AH410" s="71" t="s">
        <v>101</v>
      </c>
      <c r="AI410" s="71" t="s">
        <v>96</v>
      </c>
      <c r="AJ410" s="71" t="s">
        <v>96</v>
      </c>
      <c r="AK410" s="71" t="s">
        <v>97</v>
      </c>
      <c r="AL410" s="14" t="s">
        <v>98</v>
      </c>
    </row>
    <row r="411" spans="34:38" x14ac:dyDescent="0.4">
      <c r="AH411" s="71" t="s">
        <v>101</v>
      </c>
      <c r="AI411" s="71" t="s">
        <v>96</v>
      </c>
      <c r="AJ411" s="71" t="s">
        <v>96</v>
      </c>
      <c r="AK411" s="71" t="s">
        <v>96</v>
      </c>
      <c r="AL411" s="14" t="s">
        <v>98</v>
      </c>
    </row>
    <row r="412" spans="34:38" x14ac:dyDescent="0.4">
      <c r="AH412" s="71" t="s">
        <v>101</v>
      </c>
      <c r="AI412" s="71" t="s">
        <v>96</v>
      </c>
      <c r="AJ412" s="71" t="s">
        <v>96</v>
      </c>
      <c r="AK412" s="71" t="s">
        <v>104</v>
      </c>
      <c r="AL412" s="14" t="s">
        <v>98</v>
      </c>
    </row>
    <row r="413" spans="34:38" x14ac:dyDescent="0.4">
      <c r="AH413" s="71" t="s">
        <v>101</v>
      </c>
      <c r="AI413" s="71" t="s">
        <v>96</v>
      </c>
      <c r="AJ413" s="71" t="s">
        <v>96</v>
      </c>
      <c r="AK413" s="71" t="s">
        <v>101</v>
      </c>
      <c r="AL413" s="14" t="s">
        <v>98</v>
      </c>
    </row>
    <row r="414" spans="34:38" x14ac:dyDescent="0.4">
      <c r="AH414" s="71" t="s">
        <v>101</v>
      </c>
      <c r="AI414" s="71" t="s">
        <v>96</v>
      </c>
      <c r="AJ414" s="71" t="s">
        <v>96</v>
      </c>
      <c r="AK414" s="71" t="s">
        <v>94</v>
      </c>
      <c r="AL414" s="14" t="s">
        <v>98</v>
      </c>
    </row>
    <row r="415" spans="34:38" x14ac:dyDescent="0.4">
      <c r="AH415" s="71" t="s">
        <v>101</v>
      </c>
      <c r="AI415" s="71" t="s">
        <v>96</v>
      </c>
      <c r="AJ415" s="71" t="s">
        <v>104</v>
      </c>
      <c r="AK415" s="71" t="s">
        <v>97</v>
      </c>
      <c r="AL415" s="14" t="s">
        <v>98</v>
      </c>
    </row>
    <row r="416" spans="34:38" x14ac:dyDescent="0.4">
      <c r="AH416" s="71" t="s">
        <v>101</v>
      </c>
      <c r="AI416" s="71" t="s">
        <v>96</v>
      </c>
      <c r="AJ416" s="71" t="s">
        <v>104</v>
      </c>
      <c r="AK416" s="71" t="s">
        <v>96</v>
      </c>
      <c r="AL416" s="14" t="s">
        <v>98</v>
      </c>
    </row>
    <row r="417" spans="34:38" x14ac:dyDescent="0.4">
      <c r="AH417" s="71" t="s">
        <v>101</v>
      </c>
      <c r="AI417" s="71" t="s">
        <v>96</v>
      </c>
      <c r="AJ417" s="71" t="s">
        <v>104</v>
      </c>
      <c r="AK417" s="71" t="s">
        <v>104</v>
      </c>
      <c r="AL417" s="14" t="s">
        <v>98</v>
      </c>
    </row>
    <row r="418" spans="34:38" x14ac:dyDescent="0.4">
      <c r="AH418" s="71" t="s">
        <v>101</v>
      </c>
      <c r="AI418" s="71" t="s">
        <v>96</v>
      </c>
      <c r="AJ418" s="71" t="s">
        <v>104</v>
      </c>
      <c r="AK418" s="71" t="s">
        <v>101</v>
      </c>
      <c r="AL418" s="14" t="s">
        <v>98</v>
      </c>
    </row>
    <row r="419" spans="34:38" x14ac:dyDescent="0.4">
      <c r="AH419" s="71" t="s">
        <v>101</v>
      </c>
      <c r="AI419" s="71" t="s">
        <v>96</v>
      </c>
      <c r="AJ419" s="71" t="s">
        <v>104</v>
      </c>
      <c r="AK419" s="71" t="s">
        <v>94</v>
      </c>
      <c r="AL419" s="14" t="s">
        <v>98</v>
      </c>
    </row>
    <row r="420" spans="34:38" x14ac:dyDescent="0.4">
      <c r="AH420" s="71" t="s">
        <v>101</v>
      </c>
      <c r="AI420" s="71" t="s">
        <v>96</v>
      </c>
      <c r="AJ420" s="71" t="s">
        <v>101</v>
      </c>
      <c r="AK420" s="71" t="s">
        <v>97</v>
      </c>
      <c r="AL420" s="14" t="s">
        <v>98</v>
      </c>
    </row>
    <row r="421" spans="34:38" x14ac:dyDescent="0.4">
      <c r="AH421" s="71" t="s">
        <v>101</v>
      </c>
      <c r="AI421" s="71" t="s">
        <v>96</v>
      </c>
      <c r="AJ421" s="71" t="s">
        <v>101</v>
      </c>
      <c r="AK421" s="71" t="s">
        <v>96</v>
      </c>
      <c r="AL421" s="14" t="s">
        <v>98</v>
      </c>
    </row>
    <row r="422" spans="34:38" x14ac:dyDescent="0.4">
      <c r="AH422" s="71" t="s">
        <v>101</v>
      </c>
      <c r="AI422" s="71" t="s">
        <v>96</v>
      </c>
      <c r="AJ422" s="71" t="s">
        <v>101</v>
      </c>
      <c r="AK422" s="71" t="s">
        <v>104</v>
      </c>
      <c r="AL422" s="14" t="s">
        <v>98</v>
      </c>
    </row>
    <row r="423" spans="34:38" x14ac:dyDescent="0.4">
      <c r="AH423" s="71" t="s">
        <v>101</v>
      </c>
      <c r="AI423" s="71" t="s">
        <v>96</v>
      </c>
      <c r="AJ423" s="71" t="s">
        <v>101</v>
      </c>
      <c r="AK423" s="71" t="s">
        <v>101</v>
      </c>
      <c r="AL423" s="14" t="s">
        <v>98</v>
      </c>
    </row>
    <row r="424" spans="34:38" x14ac:dyDescent="0.4">
      <c r="AH424" s="71" t="s">
        <v>101</v>
      </c>
      <c r="AI424" s="71" t="s">
        <v>96</v>
      </c>
      <c r="AJ424" s="71" t="s">
        <v>101</v>
      </c>
      <c r="AK424" s="71" t="s">
        <v>94</v>
      </c>
      <c r="AL424" s="14" t="s">
        <v>98</v>
      </c>
    </row>
    <row r="425" spans="34:38" x14ac:dyDescent="0.4">
      <c r="AH425" s="71" t="s">
        <v>101</v>
      </c>
      <c r="AI425" s="71" t="s">
        <v>96</v>
      </c>
      <c r="AJ425" s="71" t="s">
        <v>94</v>
      </c>
      <c r="AK425" s="71" t="s">
        <v>97</v>
      </c>
      <c r="AL425" s="14" t="s">
        <v>98</v>
      </c>
    </row>
    <row r="426" spans="34:38" x14ac:dyDescent="0.4">
      <c r="AH426" s="71" t="s">
        <v>101</v>
      </c>
      <c r="AI426" s="71" t="s">
        <v>96</v>
      </c>
      <c r="AJ426" s="71" t="s">
        <v>94</v>
      </c>
      <c r="AK426" s="71" t="s">
        <v>96</v>
      </c>
      <c r="AL426" s="14" t="s">
        <v>98</v>
      </c>
    </row>
    <row r="427" spans="34:38" x14ac:dyDescent="0.4">
      <c r="AH427" s="71" t="s">
        <v>101</v>
      </c>
      <c r="AI427" s="71" t="s">
        <v>96</v>
      </c>
      <c r="AJ427" s="71" t="s">
        <v>94</v>
      </c>
      <c r="AK427" s="71" t="s">
        <v>104</v>
      </c>
      <c r="AL427" s="14" t="s">
        <v>98</v>
      </c>
    </row>
    <row r="428" spans="34:38" x14ac:dyDescent="0.4">
      <c r="AH428" s="71" t="s">
        <v>101</v>
      </c>
      <c r="AI428" s="71" t="s">
        <v>96</v>
      </c>
      <c r="AJ428" s="71" t="s">
        <v>94</v>
      </c>
      <c r="AK428" s="71" t="s">
        <v>101</v>
      </c>
      <c r="AL428" s="14" t="s">
        <v>98</v>
      </c>
    </row>
    <row r="429" spans="34:38" x14ac:dyDescent="0.4">
      <c r="AH429" s="71" t="s">
        <v>101</v>
      </c>
      <c r="AI429" s="71" t="s">
        <v>96</v>
      </c>
      <c r="AJ429" s="71" t="s">
        <v>94</v>
      </c>
      <c r="AK429" s="71" t="s">
        <v>94</v>
      </c>
      <c r="AL429" s="14" t="s">
        <v>98</v>
      </c>
    </row>
    <row r="430" spans="34:38" x14ac:dyDescent="0.4">
      <c r="AH430" s="71" t="s">
        <v>101</v>
      </c>
      <c r="AI430" s="71" t="s">
        <v>104</v>
      </c>
      <c r="AJ430" s="71" t="s">
        <v>97</v>
      </c>
      <c r="AK430" s="71" t="s">
        <v>97</v>
      </c>
      <c r="AL430" s="14" t="s">
        <v>98</v>
      </c>
    </row>
    <row r="431" spans="34:38" x14ac:dyDescent="0.4">
      <c r="AH431" s="71" t="s">
        <v>101</v>
      </c>
      <c r="AI431" s="71" t="s">
        <v>104</v>
      </c>
      <c r="AJ431" s="71" t="s">
        <v>97</v>
      </c>
      <c r="AK431" s="71" t="s">
        <v>96</v>
      </c>
      <c r="AL431" s="14" t="s">
        <v>98</v>
      </c>
    </row>
    <row r="432" spans="34:38" x14ac:dyDescent="0.4">
      <c r="AH432" s="71" t="s">
        <v>101</v>
      </c>
      <c r="AI432" s="71" t="s">
        <v>104</v>
      </c>
      <c r="AJ432" s="71" t="s">
        <v>97</v>
      </c>
      <c r="AK432" s="71" t="s">
        <v>104</v>
      </c>
      <c r="AL432" s="14" t="s">
        <v>98</v>
      </c>
    </row>
    <row r="433" spans="34:38" x14ac:dyDescent="0.4">
      <c r="AH433" s="71" t="s">
        <v>101</v>
      </c>
      <c r="AI433" s="71" t="s">
        <v>104</v>
      </c>
      <c r="AJ433" s="71" t="s">
        <v>97</v>
      </c>
      <c r="AK433" s="71" t="s">
        <v>101</v>
      </c>
      <c r="AL433" s="14" t="s">
        <v>98</v>
      </c>
    </row>
    <row r="434" spans="34:38" x14ac:dyDescent="0.4">
      <c r="AH434" s="71" t="s">
        <v>101</v>
      </c>
      <c r="AI434" s="71" t="s">
        <v>104</v>
      </c>
      <c r="AJ434" s="71" t="s">
        <v>97</v>
      </c>
      <c r="AK434" s="71" t="s">
        <v>94</v>
      </c>
      <c r="AL434" s="14" t="s">
        <v>98</v>
      </c>
    </row>
    <row r="435" spans="34:38" x14ac:dyDescent="0.4">
      <c r="AH435" s="71" t="s">
        <v>101</v>
      </c>
      <c r="AI435" s="71" t="s">
        <v>104</v>
      </c>
      <c r="AJ435" s="71" t="s">
        <v>96</v>
      </c>
      <c r="AK435" s="71" t="s">
        <v>97</v>
      </c>
      <c r="AL435" s="14" t="s">
        <v>98</v>
      </c>
    </row>
    <row r="436" spans="34:38" x14ac:dyDescent="0.4">
      <c r="AH436" s="71" t="s">
        <v>101</v>
      </c>
      <c r="AI436" s="71" t="s">
        <v>104</v>
      </c>
      <c r="AJ436" s="71" t="s">
        <v>96</v>
      </c>
      <c r="AK436" s="71" t="s">
        <v>96</v>
      </c>
      <c r="AL436" s="14" t="s">
        <v>98</v>
      </c>
    </row>
    <row r="437" spans="34:38" x14ac:dyDescent="0.4">
      <c r="AH437" s="71" t="s">
        <v>101</v>
      </c>
      <c r="AI437" s="71" t="s">
        <v>104</v>
      </c>
      <c r="AJ437" s="71" t="s">
        <v>96</v>
      </c>
      <c r="AK437" s="71" t="s">
        <v>104</v>
      </c>
      <c r="AL437" s="14" t="s">
        <v>98</v>
      </c>
    </row>
    <row r="438" spans="34:38" x14ac:dyDescent="0.4">
      <c r="AH438" s="71" t="s">
        <v>101</v>
      </c>
      <c r="AI438" s="71" t="s">
        <v>104</v>
      </c>
      <c r="AJ438" s="71" t="s">
        <v>96</v>
      </c>
      <c r="AK438" s="71" t="s">
        <v>101</v>
      </c>
      <c r="AL438" s="14" t="s">
        <v>98</v>
      </c>
    </row>
    <row r="439" spans="34:38" x14ac:dyDescent="0.4">
      <c r="AH439" s="71" t="s">
        <v>101</v>
      </c>
      <c r="AI439" s="71" t="s">
        <v>104</v>
      </c>
      <c r="AJ439" s="71" t="s">
        <v>96</v>
      </c>
      <c r="AK439" s="71" t="s">
        <v>94</v>
      </c>
      <c r="AL439" s="14" t="s">
        <v>98</v>
      </c>
    </row>
    <row r="440" spans="34:38" x14ac:dyDescent="0.4">
      <c r="AH440" s="71" t="s">
        <v>101</v>
      </c>
      <c r="AI440" s="71" t="s">
        <v>104</v>
      </c>
      <c r="AJ440" s="71" t="s">
        <v>104</v>
      </c>
      <c r="AK440" s="71" t="s">
        <v>97</v>
      </c>
      <c r="AL440" s="14" t="s">
        <v>98</v>
      </c>
    </row>
    <row r="441" spans="34:38" x14ac:dyDescent="0.4">
      <c r="AH441" s="71" t="s">
        <v>101</v>
      </c>
      <c r="AI441" s="71" t="s">
        <v>104</v>
      </c>
      <c r="AJ441" s="71" t="s">
        <v>104</v>
      </c>
      <c r="AK441" s="71" t="s">
        <v>96</v>
      </c>
      <c r="AL441" s="14" t="s">
        <v>98</v>
      </c>
    </row>
    <row r="442" spans="34:38" x14ac:dyDescent="0.4">
      <c r="AH442" s="71" t="s">
        <v>101</v>
      </c>
      <c r="AI442" s="71" t="s">
        <v>104</v>
      </c>
      <c r="AJ442" s="71" t="s">
        <v>104</v>
      </c>
      <c r="AK442" s="71" t="s">
        <v>104</v>
      </c>
      <c r="AL442" s="14" t="s">
        <v>98</v>
      </c>
    </row>
    <row r="443" spans="34:38" x14ac:dyDescent="0.4">
      <c r="AH443" s="71" t="s">
        <v>101</v>
      </c>
      <c r="AI443" s="71" t="s">
        <v>104</v>
      </c>
      <c r="AJ443" s="71" t="s">
        <v>104</v>
      </c>
      <c r="AK443" s="71" t="s">
        <v>101</v>
      </c>
      <c r="AL443" s="14" t="s">
        <v>98</v>
      </c>
    </row>
    <row r="444" spans="34:38" x14ac:dyDescent="0.4">
      <c r="AH444" s="71" t="s">
        <v>101</v>
      </c>
      <c r="AI444" s="71" t="s">
        <v>104</v>
      </c>
      <c r="AJ444" s="71" t="s">
        <v>104</v>
      </c>
      <c r="AK444" s="71" t="s">
        <v>94</v>
      </c>
      <c r="AL444" s="14" t="s">
        <v>98</v>
      </c>
    </row>
    <row r="445" spans="34:38" x14ac:dyDescent="0.4">
      <c r="AH445" s="71" t="s">
        <v>101</v>
      </c>
      <c r="AI445" s="71" t="s">
        <v>104</v>
      </c>
      <c r="AJ445" s="71" t="s">
        <v>101</v>
      </c>
      <c r="AK445" s="71" t="s">
        <v>97</v>
      </c>
      <c r="AL445" s="14" t="s">
        <v>98</v>
      </c>
    </row>
    <row r="446" spans="34:38" x14ac:dyDescent="0.4">
      <c r="AH446" s="71" t="s">
        <v>101</v>
      </c>
      <c r="AI446" s="71" t="s">
        <v>104</v>
      </c>
      <c r="AJ446" s="71" t="s">
        <v>101</v>
      </c>
      <c r="AK446" s="71" t="s">
        <v>96</v>
      </c>
      <c r="AL446" s="14" t="s">
        <v>98</v>
      </c>
    </row>
    <row r="447" spans="34:38" x14ac:dyDescent="0.4">
      <c r="AH447" s="71" t="s">
        <v>101</v>
      </c>
      <c r="AI447" s="71" t="s">
        <v>104</v>
      </c>
      <c r="AJ447" s="71" t="s">
        <v>101</v>
      </c>
      <c r="AK447" s="71" t="s">
        <v>104</v>
      </c>
      <c r="AL447" s="14" t="s">
        <v>98</v>
      </c>
    </row>
    <row r="448" spans="34:38" x14ac:dyDescent="0.4">
      <c r="AH448" s="71" t="s">
        <v>101</v>
      </c>
      <c r="AI448" s="71" t="s">
        <v>104</v>
      </c>
      <c r="AJ448" s="71" t="s">
        <v>101</v>
      </c>
      <c r="AK448" s="71" t="s">
        <v>101</v>
      </c>
      <c r="AL448" s="14" t="s">
        <v>129</v>
      </c>
    </row>
    <row r="449" spans="34:38" x14ac:dyDescent="0.4">
      <c r="AH449" s="71" t="s">
        <v>101</v>
      </c>
      <c r="AI449" s="71" t="s">
        <v>104</v>
      </c>
      <c r="AJ449" s="71" t="s">
        <v>101</v>
      </c>
      <c r="AK449" s="71" t="s">
        <v>94</v>
      </c>
      <c r="AL449" s="14" t="s">
        <v>129</v>
      </c>
    </row>
    <row r="450" spans="34:38" x14ac:dyDescent="0.4">
      <c r="AH450" s="71" t="s">
        <v>101</v>
      </c>
      <c r="AI450" s="71" t="s">
        <v>104</v>
      </c>
      <c r="AJ450" s="71" t="s">
        <v>94</v>
      </c>
      <c r="AK450" s="71" t="s">
        <v>97</v>
      </c>
      <c r="AL450" s="14" t="s">
        <v>98</v>
      </c>
    </row>
    <row r="451" spans="34:38" x14ac:dyDescent="0.4">
      <c r="AH451" s="71" t="s">
        <v>101</v>
      </c>
      <c r="AI451" s="71" t="s">
        <v>104</v>
      </c>
      <c r="AJ451" s="71" t="s">
        <v>94</v>
      </c>
      <c r="AK451" s="71" t="s">
        <v>96</v>
      </c>
      <c r="AL451" s="14" t="s">
        <v>98</v>
      </c>
    </row>
    <row r="452" spans="34:38" x14ac:dyDescent="0.4">
      <c r="AH452" s="71" t="s">
        <v>101</v>
      </c>
      <c r="AI452" s="71" t="s">
        <v>104</v>
      </c>
      <c r="AJ452" s="71" t="s">
        <v>94</v>
      </c>
      <c r="AK452" s="71" t="s">
        <v>104</v>
      </c>
      <c r="AL452" s="14" t="s">
        <v>98</v>
      </c>
    </row>
    <row r="453" spans="34:38" x14ac:dyDescent="0.4">
      <c r="AH453" s="71" t="s">
        <v>101</v>
      </c>
      <c r="AI453" s="71" t="s">
        <v>104</v>
      </c>
      <c r="AJ453" s="71" t="s">
        <v>94</v>
      </c>
      <c r="AK453" s="71" t="s">
        <v>101</v>
      </c>
      <c r="AL453" s="14" t="s">
        <v>129</v>
      </c>
    </row>
    <row r="454" spans="34:38" x14ac:dyDescent="0.4">
      <c r="AH454" s="71" t="s">
        <v>101</v>
      </c>
      <c r="AI454" s="71" t="s">
        <v>104</v>
      </c>
      <c r="AJ454" s="71" t="s">
        <v>94</v>
      </c>
      <c r="AK454" s="71" t="s">
        <v>94</v>
      </c>
      <c r="AL454" s="14" t="s">
        <v>129</v>
      </c>
    </row>
    <row r="455" spans="34:38" x14ac:dyDescent="0.4">
      <c r="AH455" s="71" t="s">
        <v>101</v>
      </c>
      <c r="AI455" s="71" t="s">
        <v>101</v>
      </c>
      <c r="AJ455" s="71" t="s">
        <v>97</v>
      </c>
      <c r="AK455" s="71" t="s">
        <v>97</v>
      </c>
      <c r="AL455" s="14" t="s">
        <v>98</v>
      </c>
    </row>
    <row r="456" spans="34:38" x14ac:dyDescent="0.4">
      <c r="AH456" s="71" t="s">
        <v>101</v>
      </c>
      <c r="AI456" s="71" t="s">
        <v>101</v>
      </c>
      <c r="AJ456" s="71" t="s">
        <v>97</v>
      </c>
      <c r="AK456" s="71" t="s">
        <v>96</v>
      </c>
      <c r="AL456" s="14" t="s">
        <v>98</v>
      </c>
    </row>
    <row r="457" spans="34:38" x14ac:dyDescent="0.4">
      <c r="AH457" s="71" t="s">
        <v>101</v>
      </c>
      <c r="AI457" s="71" t="s">
        <v>101</v>
      </c>
      <c r="AJ457" s="71" t="s">
        <v>97</v>
      </c>
      <c r="AK457" s="71" t="s">
        <v>104</v>
      </c>
      <c r="AL457" s="14" t="s">
        <v>98</v>
      </c>
    </row>
    <row r="458" spans="34:38" x14ac:dyDescent="0.4">
      <c r="AH458" s="71" t="s">
        <v>101</v>
      </c>
      <c r="AI458" s="71" t="s">
        <v>101</v>
      </c>
      <c r="AJ458" s="71" t="s">
        <v>97</v>
      </c>
      <c r="AK458" s="71" t="s">
        <v>101</v>
      </c>
      <c r="AL458" s="14" t="s">
        <v>98</v>
      </c>
    </row>
    <row r="459" spans="34:38" x14ac:dyDescent="0.4">
      <c r="AH459" s="71" t="s">
        <v>101</v>
      </c>
      <c r="AI459" s="71" t="s">
        <v>101</v>
      </c>
      <c r="AJ459" s="71" t="s">
        <v>97</v>
      </c>
      <c r="AK459" s="71" t="s">
        <v>94</v>
      </c>
      <c r="AL459" s="14" t="s">
        <v>98</v>
      </c>
    </row>
    <row r="460" spans="34:38" x14ac:dyDescent="0.4">
      <c r="AH460" s="71" t="s">
        <v>101</v>
      </c>
      <c r="AI460" s="71" t="s">
        <v>101</v>
      </c>
      <c r="AJ460" s="71" t="s">
        <v>96</v>
      </c>
      <c r="AK460" s="71" t="s">
        <v>97</v>
      </c>
      <c r="AL460" s="14" t="s">
        <v>98</v>
      </c>
    </row>
    <row r="461" spans="34:38" x14ac:dyDescent="0.4">
      <c r="AH461" s="71" t="s">
        <v>101</v>
      </c>
      <c r="AI461" s="71" t="s">
        <v>101</v>
      </c>
      <c r="AJ461" s="71" t="s">
        <v>96</v>
      </c>
      <c r="AK461" s="71" t="s">
        <v>96</v>
      </c>
      <c r="AL461" s="14" t="s">
        <v>98</v>
      </c>
    </row>
    <row r="462" spans="34:38" x14ac:dyDescent="0.4">
      <c r="AH462" s="71" t="s">
        <v>101</v>
      </c>
      <c r="AI462" s="71" t="s">
        <v>101</v>
      </c>
      <c r="AJ462" s="71" t="s">
        <v>96</v>
      </c>
      <c r="AK462" s="71" t="s">
        <v>104</v>
      </c>
      <c r="AL462" s="14" t="s">
        <v>98</v>
      </c>
    </row>
    <row r="463" spans="34:38" x14ac:dyDescent="0.4">
      <c r="AH463" s="71" t="s">
        <v>101</v>
      </c>
      <c r="AI463" s="71" t="s">
        <v>101</v>
      </c>
      <c r="AJ463" s="71" t="s">
        <v>96</v>
      </c>
      <c r="AK463" s="71" t="s">
        <v>101</v>
      </c>
      <c r="AL463" s="14" t="s">
        <v>98</v>
      </c>
    </row>
    <row r="464" spans="34:38" x14ac:dyDescent="0.4">
      <c r="AH464" s="71" t="s">
        <v>101</v>
      </c>
      <c r="AI464" s="71" t="s">
        <v>101</v>
      </c>
      <c r="AJ464" s="71" t="s">
        <v>96</v>
      </c>
      <c r="AK464" s="71" t="s">
        <v>94</v>
      </c>
      <c r="AL464" s="14" t="s">
        <v>98</v>
      </c>
    </row>
    <row r="465" spans="34:38" x14ac:dyDescent="0.4">
      <c r="AH465" s="71" t="s">
        <v>101</v>
      </c>
      <c r="AI465" s="71" t="s">
        <v>101</v>
      </c>
      <c r="AJ465" s="71" t="s">
        <v>104</v>
      </c>
      <c r="AK465" s="71" t="s">
        <v>97</v>
      </c>
      <c r="AL465" s="14" t="s">
        <v>98</v>
      </c>
    </row>
    <row r="466" spans="34:38" x14ac:dyDescent="0.4">
      <c r="AH466" s="71" t="s">
        <v>101</v>
      </c>
      <c r="AI466" s="71" t="s">
        <v>101</v>
      </c>
      <c r="AJ466" s="71" t="s">
        <v>104</v>
      </c>
      <c r="AK466" s="71" t="s">
        <v>96</v>
      </c>
      <c r="AL466" s="14" t="s">
        <v>98</v>
      </c>
    </row>
    <row r="467" spans="34:38" x14ac:dyDescent="0.4">
      <c r="AH467" s="71" t="s">
        <v>101</v>
      </c>
      <c r="AI467" s="71" t="s">
        <v>101</v>
      </c>
      <c r="AJ467" s="71" t="s">
        <v>104</v>
      </c>
      <c r="AK467" s="71" t="s">
        <v>104</v>
      </c>
      <c r="AL467" s="14" t="s">
        <v>98</v>
      </c>
    </row>
    <row r="468" spans="34:38" x14ac:dyDescent="0.4">
      <c r="AH468" s="71" t="s">
        <v>101</v>
      </c>
      <c r="AI468" s="71" t="s">
        <v>101</v>
      </c>
      <c r="AJ468" s="71" t="s">
        <v>104</v>
      </c>
      <c r="AK468" s="71" t="s">
        <v>101</v>
      </c>
      <c r="AL468" s="14" t="s">
        <v>98</v>
      </c>
    </row>
    <row r="469" spans="34:38" x14ac:dyDescent="0.4">
      <c r="AH469" s="71" t="s">
        <v>101</v>
      </c>
      <c r="AI469" s="71" t="s">
        <v>101</v>
      </c>
      <c r="AJ469" s="71" t="s">
        <v>104</v>
      </c>
      <c r="AK469" s="71" t="s">
        <v>94</v>
      </c>
      <c r="AL469" s="14" t="s">
        <v>98</v>
      </c>
    </row>
    <row r="470" spans="34:38" x14ac:dyDescent="0.4">
      <c r="AH470" s="71" t="s">
        <v>101</v>
      </c>
      <c r="AI470" s="71" t="s">
        <v>101</v>
      </c>
      <c r="AJ470" s="71" t="s">
        <v>101</v>
      </c>
      <c r="AK470" s="71" t="s">
        <v>97</v>
      </c>
      <c r="AL470" s="14" t="s">
        <v>98</v>
      </c>
    </row>
    <row r="471" spans="34:38" x14ac:dyDescent="0.4">
      <c r="AH471" s="71" t="s">
        <v>101</v>
      </c>
      <c r="AI471" s="71" t="s">
        <v>101</v>
      </c>
      <c r="AJ471" s="71" t="s">
        <v>101</v>
      </c>
      <c r="AK471" s="71" t="s">
        <v>96</v>
      </c>
      <c r="AL471" s="14" t="s">
        <v>98</v>
      </c>
    </row>
    <row r="472" spans="34:38" x14ac:dyDescent="0.4">
      <c r="AH472" s="71" t="s">
        <v>101</v>
      </c>
      <c r="AI472" s="71" t="s">
        <v>101</v>
      </c>
      <c r="AJ472" s="71" t="s">
        <v>101</v>
      </c>
      <c r="AK472" s="71" t="s">
        <v>104</v>
      </c>
      <c r="AL472" s="14" t="s">
        <v>98</v>
      </c>
    </row>
    <row r="473" spans="34:38" x14ac:dyDescent="0.4">
      <c r="AH473" s="71" t="s">
        <v>101</v>
      </c>
      <c r="AI473" s="71" t="s">
        <v>101</v>
      </c>
      <c r="AJ473" s="71" t="s">
        <v>101</v>
      </c>
      <c r="AK473" s="71" t="s">
        <v>101</v>
      </c>
      <c r="AL473" s="14" t="s">
        <v>129</v>
      </c>
    </row>
    <row r="474" spans="34:38" x14ac:dyDescent="0.4">
      <c r="AH474" s="71" t="s">
        <v>101</v>
      </c>
      <c r="AI474" s="71" t="s">
        <v>101</v>
      </c>
      <c r="AJ474" s="71" t="s">
        <v>101</v>
      </c>
      <c r="AK474" s="71" t="s">
        <v>94</v>
      </c>
      <c r="AL474" s="14" t="s">
        <v>129</v>
      </c>
    </row>
    <row r="475" spans="34:38" x14ac:dyDescent="0.4">
      <c r="AH475" s="71" t="s">
        <v>101</v>
      </c>
      <c r="AI475" s="71" t="s">
        <v>101</v>
      </c>
      <c r="AJ475" s="71" t="s">
        <v>94</v>
      </c>
      <c r="AK475" s="71" t="s">
        <v>97</v>
      </c>
      <c r="AL475" s="14" t="s">
        <v>98</v>
      </c>
    </row>
    <row r="476" spans="34:38" x14ac:dyDescent="0.4">
      <c r="AH476" s="71" t="s">
        <v>101</v>
      </c>
      <c r="AI476" s="71" t="s">
        <v>101</v>
      </c>
      <c r="AJ476" s="71" t="s">
        <v>94</v>
      </c>
      <c r="AK476" s="71" t="s">
        <v>96</v>
      </c>
      <c r="AL476" s="14" t="s">
        <v>98</v>
      </c>
    </row>
    <row r="477" spans="34:38" x14ac:dyDescent="0.4">
      <c r="AH477" s="71" t="s">
        <v>101</v>
      </c>
      <c r="AI477" s="71" t="s">
        <v>101</v>
      </c>
      <c r="AJ477" s="71" t="s">
        <v>94</v>
      </c>
      <c r="AK477" s="71" t="s">
        <v>104</v>
      </c>
      <c r="AL477" s="14" t="s">
        <v>98</v>
      </c>
    </row>
    <row r="478" spans="34:38" x14ac:dyDescent="0.4">
      <c r="AH478" s="71" t="s">
        <v>101</v>
      </c>
      <c r="AI478" s="71" t="s">
        <v>101</v>
      </c>
      <c r="AJ478" s="71" t="s">
        <v>94</v>
      </c>
      <c r="AK478" s="71" t="s">
        <v>101</v>
      </c>
      <c r="AL478" s="14" t="s">
        <v>129</v>
      </c>
    </row>
    <row r="479" spans="34:38" x14ac:dyDescent="0.4">
      <c r="AH479" s="71" t="s">
        <v>101</v>
      </c>
      <c r="AI479" s="71" t="s">
        <v>101</v>
      </c>
      <c r="AJ479" s="71" t="s">
        <v>94</v>
      </c>
      <c r="AK479" s="71" t="s">
        <v>94</v>
      </c>
      <c r="AL479" s="14" t="s">
        <v>129</v>
      </c>
    </row>
    <row r="480" spans="34:38" x14ac:dyDescent="0.4">
      <c r="AH480" s="71" t="s">
        <v>101</v>
      </c>
      <c r="AI480" s="71" t="s">
        <v>94</v>
      </c>
      <c r="AJ480" s="71" t="s">
        <v>97</v>
      </c>
      <c r="AK480" s="71" t="s">
        <v>97</v>
      </c>
      <c r="AL480" s="14" t="s">
        <v>98</v>
      </c>
    </row>
    <row r="481" spans="34:38" x14ac:dyDescent="0.4">
      <c r="AH481" s="71" t="s">
        <v>101</v>
      </c>
      <c r="AI481" s="71" t="s">
        <v>94</v>
      </c>
      <c r="AJ481" s="71" t="s">
        <v>97</v>
      </c>
      <c r="AK481" s="71" t="s">
        <v>96</v>
      </c>
      <c r="AL481" s="14" t="s">
        <v>98</v>
      </c>
    </row>
    <row r="482" spans="34:38" x14ac:dyDescent="0.4">
      <c r="AH482" s="71" t="s">
        <v>101</v>
      </c>
      <c r="AI482" s="71" t="s">
        <v>94</v>
      </c>
      <c r="AJ482" s="71" t="s">
        <v>97</v>
      </c>
      <c r="AK482" s="71" t="s">
        <v>104</v>
      </c>
      <c r="AL482" s="14" t="s">
        <v>98</v>
      </c>
    </row>
    <row r="483" spans="34:38" x14ac:dyDescent="0.4">
      <c r="AH483" s="71" t="s">
        <v>101</v>
      </c>
      <c r="AI483" s="71" t="s">
        <v>94</v>
      </c>
      <c r="AJ483" s="71" t="s">
        <v>97</v>
      </c>
      <c r="AK483" s="71" t="s">
        <v>101</v>
      </c>
      <c r="AL483" s="14" t="s">
        <v>98</v>
      </c>
    </row>
    <row r="484" spans="34:38" x14ac:dyDescent="0.4">
      <c r="AH484" s="71" t="s">
        <v>101</v>
      </c>
      <c r="AI484" s="71" t="s">
        <v>94</v>
      </c>
      <c r="AJ484" s="71" t="s">
        <v>97</v>
      </c>
      <c r="AK484" s="71" t="s">
        <v>94</v>
      </c>
      <c r="AL484" s="14" t="s">
        <v>98</v>
      </c>
    </row>
    <row r="485" spans="34:38" x14ac:dyDescent="0.4">
      <c r="AH485" s="71" t="s">
        <v>101</v>
      </c>
      <c r="AI485" s="71" t="s">
        <v>94</v>
      </c>
      <c r="AJ485" s="71" t="s">
        <v>96</v>
      </c>
      <c r="AK485" s="71" t="s">
        <v>97</v>
      </c>
      <c r="AL485" s="14" t="s">
        <v>98</v>
      </c>
    </row>
    <row r="486" spans="34:38" x14ac:dyDescent="0.4">
      <c r="AH486" s="71" t="s">
        <v>101</v>
      </c>
      <c r="AI486" s="71" t="s">
        <v>94</v>
      </c>
      <c r="AJ486" s="71" t="s">
        <v>96</v>
      </c>
      <c r="AK486" s="71" t="s">
        <v>96</v>
      </c>
      <c r="AL486" s="14" t="s">
        <v>98</v>
      </c>
    </row>
    <row r="487" spans="34:38" x14ac:dyDescent="0.4">
      <c r="AH487" s="71" t="s">
        <v>101</v>
      </c>
      <c r="AI487" s="71" t="s">
        <v>94</v>
      </c>
      <c r="AJ487" s="71" t="s">
        <v>96</v>
      </c>
      <c r="AK487" s="71" t="s">
        <v>104</v>
      </c>
      <c r="AL487" s="14" t="s">
        <v>98</v>
      </c>
    </row>
    <row r="488" spans="34:38" x14ac:dyDescent="0.4">
      <c r="AH488" s="71" t="s">
        <v>101</v>
      </c>
      <c r="AI488" s="71" t="s">
        <v>94</v>
      </c>
      <c r="AJ488" s="71" t="s">
        <v>96</v>
      </c>
      <c r="AK488" s="71" t="s">
        <v>101</v>
      </c>
      <c r="AL488" s="14" t="s">
        <v>98</v>
      </c>
    </row>
    <row r="489" spans="34:38" x14ac:dyDescent="0.4">
      <c r="AH489" s="71" t="s">
        <v>101</v>
      </c>
      <c r="AI489" s="71" t="s">
        <v>94</v>
      </c>
      <c r="AJ489" s="71" t="s">
        <v>96</v>
      </c>
      <c r="AK489" s="71" t="s">
        <v>94</v>
      </c>
      <c r="AL489" s="14" t="s">
        <v>98</v>
      </c>
    </row>
    <row r="490" spans="34:38" x14ac:dyDescent="0.4">
      <c r="AH490" s="71" t="s">
        <v>101</v>
      </c>
      <c r="AI490" s="71" t="s">
        <v>94</v>
      </c>
      <c r="AJ490" s="71" t="s">
        <v>104</v>
      </c>
      <c r="AK490" s="71" t="s">
        <v>97</v>
      </c>
      <c r="AL490" s="14" t="s">
        <v>98</v>
      </c>
    </row>
    <row r="491" spans="34:38" x14ac:dyDescent="0.4">
      <c r="AH491" s="71" t="s">
        <v>101</v>
      </c>
      <c r="AI491" s="71" t="s">
        <v>94</v>
      </c>
      <c r="AJ491" s="71" t="s">
        <v>104</v>
      </c>
      <c r="AK491" s="71" t="s">
        <v>96</v>
      </c>
      <c r="AL491" s="14" t="s">
        <v>98</v>
      </c>
    </row>
    <row r="492" spans="34:38" x14ac:dyDescent="0.4">
      <c r="AH492" s="71" t="s">
        <v>101</v>
      </c>
      <c r="AI492" s="71" t="s">
        <v>94</v>
      </c>
      <c r="AJ492" s="71" t="s">
        <v>104</v>
      </c>
      <c r="AK492" s="71" t="s">
        <v>104</v>
      </c>
      <c r="AL492" s="14" t="s">
        <v>98</v>
      </c>
    </row>
    <row r="493" spans="34:38" x14ac:dyDescent="0.4">
      <c r="AH493" s="71" t="s">
        <v>101</v>
      </c>
      <c r="AI493" s="71" t="s">
        <v>94</v>
      </c>
      <c r="AJ493" s="71" t="s">
        <v>104</v>
      </c>
      <c r="AK493" s="71" t="s">
        <v>101</v>
      </c>
      <c r="AL493" s="14" t="s">
        <v>98</v>
      </c>
    </row>
    <row r="494" spans="34:38" x14ac:dyDescent="0.4">
      <c r="AH494" s="71" t="s">
        <v>101</v>
      </c>
      <c r="AI494" s="71" t="s">
        <v>94</v>
      </c>
      <c r="AJ494" s="71" t="s">
        <v>104</v>
      </c>
      <c r="AK494" s="71" t="s">
        <v>94</v>
      </c>
      <c r="AL494" s="14" t="s">
        <v>98</v>
      </c>
    </row>
    <row r="495" spans="34:38" x14ac:dyDescent="0.4">
      <c r="AH495" s="71" t="s">
        <v>101</v>
      </c>
      <c r="AI495" s="71" t="s">
        <v>94</v>
      </c>
      <c r="AJ495" s="71" t="s">
        <v>101</v>
      </c>
      <c r="AK495" s="71" t="s">
        <v>97</v>
      </c>
      <c r="AL495" s="14" t="s">
        <v>98</v>
      </c>
    </row>
    <row r="496" spans="34:38" x14ac:dyDescent="0.4">
      <c r="AH496" s="71" t="s">
        <v>101</v>
      </c>
      <c r="AI496" s="71" t="s">
        <v>94</v>
      </c>
      <c r="AJ496" s="71" t="s">
        <v>101</v>
      </c>
      <c r="AK496" s="71" t="s">
        <v>96</v>
      </c>
      <c r="AL496" s="14" t="s">
        <v>98</v>
      </c>
    </row>
    <row r="497" spans="34:38" x14ac:dyDescent="0.4">
      <c r="AH497" s="71" t="s">
        <v>101</v>
      </c>
      <c r="AI497" s="71" t="s">
        <v>94</v>
      </c>
      <c r="AJ497" s="71" t="s">
        <v>101</v>
      </c>
      <c r="AK497" s="71" t="s">
        <v>104</v>
      </c>
      <c r="AL497" s="14" t="s">
        <v>98</v>
      </c>
    </row>
    <row r="498" spans="34:38" x14ac:dyDescent="0.4">
      <c r="AH498" s="71" t="s">
        <v>101</v>
      </c>
      <c r="AI498" s="71" t="s">
        <v>94</v>
      </c>
      <c r="AJ498" s="71" t="s">
        <v>101</v>
      </c>
      <c r="AK498" s="71" t="s">
        <v>101</v>
      </c>
      <c r="AL498" s="14" t="s">
        <v>129</v>
      </c>
    </row>
    <row r="499" spans="34:38" x14ac:dyDescent="0.4">
      <c r="AH499" s="71" t="s">
        <v>101</v>
      </c>
      <c r="AI499" s="71" t="s">
        <v>94</v>
      </c>
      <c r="AJ499" s="71" t="s">
        <v>101</v>
      </c>
      <c r="AK499" s="71" t="s">
        <v>94</v>
      </c>
      <c r="AL499" s="14" t="s">
        <v>129</v>
      </c>
    </row>
    <row r="500" spans="34:38" x14ac:dyDescent="0.4">
      <c r="AH500" s="71" t="s">
        <v>101</v>
      </c>
      <c r="AI500" s="71" t="s">
        <v>94</v>
      </c>
      <c r="AJ500" s="71" t="s">
        <v>94</v>
      </c>
      <c r="AK500" s="71" t="s">
        <v>97</v>
      </c>
      <c r="AL500" s="14" t="s">
        <v>98</v>
      </c>
    </row>
    <row r="501" spans="34:38" x14ac:dyDescent="0.4">
      <c r="AH501" s="71" t="s">
        <v>101</v>
      </c>
      <c r="AI501" s="71" t="s">
        <v>94</v>
      </c>
      <c r="AJ501" s="71" t="s">
        <v>94</v>
      </c>
      <c r="AK501" s="71" t="s">
        <v>96</v>
      </c>
      <c r="AL501" s="14" t="s">
        <v>98</v>
      </c>
    </row>
    <row r="502" spans="34:38" x14ac:dyDescent="0.4">
      <c r="AH502" s="71" t="s">
        <v>101</v>
      </c>
      <c r="AI502" s="71" t="s">
        <v>94</v>
      </c>
      <c r="AJ502" s="71" t="s">
        <v>94</v>
      </c>
      <c r="AK502" s="71" t="s">
        <v>104</v>
      </c>
      <c r="AL502" s="14" t="s">
        <v>98</v>
      </c>
    </row>
    <row r="503" spans="34:38" x14ac:dyDescent="0.4">
      <c r="AH503" s="71" t="s">
        <v>101</v>
      </c>
      <c r="AI503" s="71" t="s">
        <v>94</v>
      </c>
      <c r="AJ503" s="71" t="s">
        <v>94</v>
      </c>
      <c r="AK503" s="71" t="s">
        <v>101</v>
      </c>
      <c r="AL503" s="14" t="s">
        <v>129</v>
      </c>
    </row>
    <row r="504" spans="34:38" x14ac:dyDescent="0.4">
      <c r="AH504" s="71" t="s">
        <v>101</v>
      </c>
      <c r="AI504" s="71" t="s">
        <v>94</v>
      </c>
      <c r="AJ504" s="71" t="s">
        <v>94</v>
      </c>
      <c r="AK504" s="71" t="s">
        <v>94</v>
      </c>
      <c r="AL504" s="14" t="s">
        <v>129</v>
      </c>
    </row>
    <row r="505" spans="34:38" x14ac:dyDescent="0.4">
      <c r="AH505" s="71" t="s">
        <v>94</v>
      </c>
      <c r="AI505" s="71" t="s">
        <v>97</v>
      </c>
      <c r="AJ505" s="71" t="s">
        <v>97</v>
      </c>
      <c r="AK505" s="71" t="s">
        <v>97</v>
      </c>
      <c r="AL505" s="14" t="s">
        <v>98</v>
      </c>
    </row>
    <row r="506" spans="34:38" x14ac:dyDescent="0.4">
      <c r="AH506" s="71" t="s">
        <v>94</v>
      </c>
      <c r="AI506" s="71" t="s">
        <v>97</v>
      </c>
      <c r="AJ506" s="71" t="s">
        <v>97</v>
      </c>
      <c r="AK506" s="71" t="s">
        <v>96</v>
      </c>
      <c r="AL506" s="14" t="s">
        <v>98</v>
      </c>
    </row>
    <row r="507" spans="34:38" x14ac:dyDescent="0.4">
      <c r="AH507" s="71" t="s">
        <v>94</v>
      </c>
      <c r="AI507" s="71" t="s">
        <v>97</v>
      </c>
      <c r="AJ507" s="71" t="s">
        <v>97</v>
      </c>
      <c r="AK507" s="71" t="s">
        <v>104</v>
      </c>
      <c r="AL507" s="14" t="s">
        <v>98</v>
      </c>
    </row>
    <row r="508" spans="34:38" x14ac:dyDescent="0.4">
      <c r="AH508" s="71" t="s">
        <v>94</v>
      </c>
      <c r="AI508" s="71" t="s">
        <v>97</v>
      </c>
      <c r="AJ508" s="71" t="s">
        <v>97</v>
      </c>
      <c r="AK508" s="71" t="s">
        <v>101</v>
      </c>
      <c r="AL508" s="14" t="s">
        <v>98</v>
      </c>
    </row>
    <row r="509" spans="34:38" x14ac:dyDescent="0.4">
      <c r="AH509" s="71" t="s">
        <v>94</v>
      </c>
      <c r="AI509" s="71" t="s">
        <v>97</v>
      </c>
      <c r="AJ509" s="71" t="s">
        <v>97</v>
      </c>
      <c r="AK509" s="71" t="s">
        <v>94</v>
      </c>
      <c r="AL509" s="14" t="s">
        <v>98</v>
      </c>
    </row>
    <row r="510" spans="34:38" x14ac:dyDescent="0.4">
      <c r="AH510" s="71" t="s">
        <v>94</v>
      </c>
      <c r="AI510" s="71" t="s">
        <v>97</v>
      </c>
      <c r="AJ510" s="71" t="s">
        <v>96</v>
      </c>
      <c r="AK510" s="71" t="s">
        <v>97</v>
      </c>
      <c r="AL510" s="14" t="s">
        <v>98</v>
      </c>
    </row>
    <row r="511" spans="34:38" x14ac:dyDescent="0.4">
      <c r="AH511" s="71" t="s">
        <v>94</v>
      </c>
      <c r="AI511" s="71" t="s">
        <v>97</v>
      </c>
      <c r="AJ511" s="71" t="s">
        <v>96</v>
      </c>
      <c r="AK511" s="71" t="s">
        <v>96</v>
      </c>
      <c r="AL511" s="14" t="s">
        <v>98</v>
      </c>
    </row>
    <row r="512" spans="34:38" x14ac:dyDescent="0.4">
      <c r="AH512" s="71" t="s">
        <v>94</v>
      </c>
      <c r="AI512" s="71" t="s">
        <v>97</v>
      </c>
      <c r="AJ512" s="71" t="s">
        <v>96</v>
      </c>
      <c r="AK512" s="71" t="s">
        <v>104</v>
      </c>
      <c r="AL512" s="14" t="s">
        <v>98</v>
      </c>
    </row>
    <row r="513" spans="34:38" x14ac:dyDescent="0.4">
      <c r="AH513" s="71" t="s">
        <v>94</v>
      </c>
      <c r="AI513" s="71" t="s">
        <v>97</v>
      </c>
      <c r="AJ513" s="71" t="s">
        <v>96</v>
      </c>
      <c r="AK513" s="71" t="s">
        <v>101</v>
      </c>
      <c r="AL513" s="14" t="s">
        <v>98</v>
      </c>
    </row>
    <row r="514" spans="34:38" x14ac:dyDescent="0.4">
      <c r="AH514" s="71" t="s">
        <v>94</v>
      </c>
      <c r="AI514" s="71" t="s">
        <v>97</v>
      </c>
      <c r="AJ514" s="71" t="s">
        <v>96</v>
      </c>
      <c r="AK514" s="71" t="s">
        <v>94</v>
      </c>
      <c r="AL514" s="14" t="s">
        <v>98</v>
      </c>
    </row>
    <row r="515" spans="34:38" x14ac:dyDescent="0.4">
      <c r="AH515" s="71" t="s">
        <v>94</v>
      </c>
      <c r="AI515" s="71" t="s">
        <v>97</v>
      </c>
      <c r="AJ515" s="71" t="s">
        <v>104</v>
      </c>
      <c r="AK515" s="71" t="s">
        <v>97</v>
      </c>
      <c r="AL515" s="14" t="s">
        <v>98</v>
      </c>
    </row>
    <row r="516" spans="34:38" x14ac:dyDescent="0.4">
      <c r="AH516" s="71" t="s">
        <v>94</v>
      </c>
      <c r="AI516" s="71" t="s">
        <v>97</v>
      </c>
      <c r="AJ516" s="71" t="s">
        <v>104</v>
      </c>
      <c r="AK516" s="71" t="s">
        <v>96</v>
      </c>
      <c r="AL516" s="14" t="s">
        <v>98</v>
      </c>
    </row>
    <row r="517" spans="34:38" x14ac:dyDescent="0.4">
      <c r="AH517" s="71" t="s">
        <v>94</v>
      </c>
      <c r="AI517" s="71" t="s">
        <v>97</v>
      </c>
      <c r="AJ517" s="71" t="s">
        <v>104</v>
      </c>
      <c r="AK517" s="71" t="s">
        <v>104</v>
      </c>
      <c r="AL517" s="14" t="s">
        <v>98</v>
      </c>
    </row>
    <row r="518" spans="34:38" x14ac:dyDescent="0.4">
      <c r="AH518" s="71" t="s">
        <v>94</v>
      </c>
      <c r="AI518" s="71" t="s">
        <v>97</v>
      </c>
      <c r="AJ518" s="71" t="s">
        <v>104</v>
      </c>
      <c r="AK518" s="71" t="s">
        <v>101</v>
      </c>
      <c r="AL518" s="14" t="s">
        <v>98</v>
      </c>
    </row>
    <row r="519" spans="34:38" x14ac:dyDescent="0.4">
      <c r="AH519" s="71" t="s">
        <v>94</v>
      </c>
      <c r="AI519" s="71" t="s">
        <v>97</v>
      </c>
      <c r="AJ519" s="71" t="s">
        <v>104</v>
      </c>
      <c r="AK519" s="71" t="s">
        <v>94</v>
      </c>
      <c r="AL519" s="14" t="s">
        <v>98</v>
      </c>
    </row>
    <row r="520" spans="34:38" x14ac:dyDescent="0.4">
      <c r="AH520" s="71" t="s">
        <v>94</v>
      </c>
      <c r="AI520" s="71" t="s">
        <v>97</v>
      </c>
      <c r="AJ520" s="71" t="s">
        <v>101</v>
      </c>
      <c r="AK520" s="71" t="s">
        <v>97</v>
      </c>
      <c r="AL520" s="14" t="s">
        <v>98</v>
      </c>
    </row>
    <row r="521" spans="34:38" x14ac:dyDescent="0.4">
      <c r="AH521" s="71" t="s">
        <v>94</v>
      </c>
      <c r="AI521" s="71" t="s">
        <v>97</v>
      </c>
      <c r="AJ521" s="71" t="s">
        <v>101</v>
      </c>
      <c r="AK521" s="71" t="s">
        <v>96</v>
      </c>
      <c r="AL521" s="14" t="s">
        <v>98</v>
      </c>
    </row>
    <row r="522" spans="34:38" x14ac:dyDescent="0.4">
      <c r="AH522" s="71" t="s">
        <v>94</v>
      </c>
      <c r="AI522" s="71" t="s">
        <v>97</v>
      </c>
      <c r="AJ522" s="71" t="s">
        <v>101</v>
      </c>
      <c r="AK522" s="71" t="s">
        <v>104</v>
      </c>
      <c r="AL522" s="14" t="s">
        <v>98</v>
      </c>
    </row>
    <row r="523" spans="34:38" x14ac:dyDescent="0.4">
      <c r="AH523" s="71" t="s">
        <v>94</v>
      </c>
      <c r="AI523" s="71" t="s">
        <v>97</v>
      </c>
      <c r="AJ523" s="71" t="s">
        <v>101</v>
      </c>
      <c r="AK523" s="71" t="s">
        <v>101</v>
      </c>
      <c r="AL523" s="14" t="s">
        <v>98</v>
      </c>
    </row>
    <row r="524" spans="34:38" x14ac:dyDescent="0.4">
      <c r="AH524" s="71" t="s">
        <v>94</v>
      </c>
      <c r="AI524" s="71" t="s">
        <v>97</v>
      </c>
      <c r="AJ524" s="71" t="s">
        <v>101</v>
      </c>
      <c r="AK524" s="71" t="s">
        <v>94</v>
      </c>
      <c r="AL524" s="14" t="s">
        <v>98</v>
      </c>
    </row>
    <row r="525" spans="34:38" x14ac:dyDescent="0.4">
      <c r="AH525" s="71" t="s">
        <v>94</v>
      </c>
      <c r="AI525" s="71" t="s">
        <v>97</v>
      </c>
      <c r="AJ525" s="71" t="s">
        <v>94</v>
      </c>
      <c r="AK525" s="71" t="s">
        <v>97</v>
      </c>
      <c r="AL525" s="14" t="s">
        <v>98</v>
      </c>
    </row>
    <row r="526" spans="34:38" x14ac:dyDescent="0.4">
      <c r="AH526" s="71" t="s">
        <v>94</v>
      </c>
      <c r="AI526" s="71" t="s">
        <v>97</v>
      </c>
      <c r="AJ526" s="71" t="s">
        <v>94</v>
      </c>
      <c r="AK526" s="71" t="s">
        <v>96</v>
      </c>
      <c r="AL526" s="14" t="s">
        <v>98</v>
      </c>
    </row>
    <row r="527" spans="34:38" x14ac:dyDescent="0.4">
      <c r="AH527" s="71" t="s">
        <v>94</v>
      </c>
      <c r="AI527" s="71" t="s">
        <v>97</v>
      </c>
      <c r="AJ527" s="71" t="s">
        <v>94</v>
      </c>
      <c r="AK527" s="71" t="s">
        <v>104</v>
      </c>
      <c r="AL527" s="14" t="s">
        <v>98</v>
      </c>
    </row>
    <row r="528" spans="34:38" x14ac:dyDescent="0.4">
      <c r="AH528" s="71" t="s">
        <v>94</v>
      </c>
      <c r="AI528" s="71" t="s">
        <v>97</v>
      </c>
      <c r="AJ528" s="71" t="s">
        <v>94</v>
      </c>
      <c r="AK528" s="71" t="s">
        <v>101</v>
      </c>
      <c r="AL528" s="14" t="s">
        <v>98</v>
      </c>
    </row>
    <row r="529" spans="34:38" x14ac:dyDescent="0.4">
      <c r="AH529" s="71" t="s">
        <v>94</v>
      </c>
      <c r="AI529" s="71" t="s">
        <v>97</v>
      </c>
      <c r="AJ529" s="71" t="s">
        <v>94</v>
      </c>
      <c r="AK529" s="71" t="s">
        <v>94</v>
      </c>
      <c r="AL529" s="14" t="s">
        <v>98</v>
      </c>
    </row>
    <row r="530" spans="34:38" x14ac:dyDescent="0.4">
      <c r="AH530" s="71" t="s">
        <v>94</v>
      </c>
      <c r="AI530" s="71" t="s">
        <v>96</v>
      </c>
      <c r="AJ530" s="71" t="s">
        <v>97</v>
      </c>
      <c r="AK530" s="71" t="s">
        <v>97</v>
      </c>
      <c r="AL530" s="14" t="s">
        <v>98</v>
      </c>
    </row>
    <row r="531" spans="34:38" x14ac:dyDescent="0.4">
      <c r="AH531" s="71" t="s">
        <v>94</v>
      </c>
      <c r="AI531" s="71" t="s">
        <v>96</v>
      </c>
      <c r="AJ531" s="71" t="s">
        <v>97</v>
      </c>
      <c r="AK531" s="71" t="s">
        <v>96</v>
      </c>
      <c r="AL531" s="14" t="s">
        <v>98</v>
      </c>
    </row>
    <row r="532" spans="34:38" x14ac:dyDescent="0.4">
      <c r="AH532" s="71" t="s">
        <v>94</v>
      </c>
      <c r="AI532" s="71" t="s">
        <v>96</v>
      </c>
      <c r="AJ532" s="71" t="s">
        <v>97</v>
      </c>
      <c r="AK532" s="71" t="s">
        <v>104</v>
      </c>
      <c r="AL532" s="14" t="s">
        <v>98</v>
      </c>
    </row>
    <row r="533" spans="34:38" x14ac:dyDescent="0.4">
      <c r="AH533" s="71" t="s">
        <v>94</v>
      </c>
      <c r="AI533" s="71" t="s">
        <v>96</v>
      </c>
      <c r="AJ533" s="71" t="s">
        <v>97</v>
      </c>
      <c r="AK533" s="71" t="s">
        <v>101</v>
      </c>
      <c r="AL533" s="14" t="s">
        <v>98</v>
      </c>
    </row>
    <row r="534" spans="34:38" x14ac:dyDescent="0.4">
      <c r="AH534" s="71" t="s">
        <v>94</v>
      </c>
      <c r="AI534" s="71" t="s">
        <v>96</v>
      </c>
      <c r="AJ534" s="71" t="s">
        <v>97</v>
      </c>
      <c r="AK534" s="71" t="s">
        <v>94</v>
      </c>
      <c r="AL534" s="14" t="s">
        <v>98</v>
      </c>
    </row>
    <row r="535" spans="34:38" x14ac:dyDescent="0.4">
      <c r="AH535" s="71" t="s">
        <v>94</v>
      </c>
      <c r="AI535" s="71" t="s">
        <v>96</v>
      </c>
      <c r="AJ535" s="71" t="s">
        <v>96</v>
      </c>
      <c r="AK535" s="71" t="s">
        <v>97</v>
      </c>
      <c r="AL535" s="14" t="s">
        <v>98</v>
      </c>
    </row>
    <row r="536" spans="34:38" x14ac:dyDescent="0.4">
      <c r="AH536" s="71" t="s">
        <v>94</v>
      </c>
      <c r="AI536" s="71" t="s">
        <v>96</v>
      </c>
      <c r="AJ536" s="71" t="s">
        <v>96</v>
      </c>
      <c r="AK536" s="71" t="s">
        <v>96</v>
      </c>
      <c r="AL536" s="14" t="s">
        <v>98</v>
      </c>
    </row>
    <row r="537" spans="34:38" x14ac:dyDescent="0.4">
      <c r="AH537" s="71" t="s">
        <v>94</v>
      </c>
      <c r="AI537" s="71" t="s">
        <v>96</v>
      </c>
      <c r="AJ537" s="71" t="s">
        <v>96</v>
      </c>
      <c r="AK537" s="71" t="s">
        <v>104</v>
      </c>
      <c r="AL537" s="14" t="s">
        <v>98</v>
      </c>
    </row>
    <row r="538" spans="34:38" x14ac:dyDescent="0.4">
      <c r="AH538" s="71" t="s">
        <v>94</v>
      </c>
      <c r="AI538" s="71" t="s">
        <v>96</v>
      </c>
      <c r="AJ538" s="71" t="s">
        <v>96</v>
      </c>
      <c r="AK538" s="71" t="s">
        <v>101</v>
      </c>
      <c r="AL538" s="14" t="s">
        <v>98</v>
      </c>
    </row>
    <row r="539" spans="34:38" x14ac:dyDescent="0.4">
      <c r="AH539" s="71" t="s">
        <v>94</v>
      </c>
      <c r="AI539" s="71" t="s">
        <v>96</v>
      </c>
      <c r="AJ539" s="71" t="s">
        <v>96</v>
      </c>
      <c r="AK539" s="71" t="s">
        <v>94</v>
      </c>
      <c r="AL539" s="14" t="s">
        <v>98</v>
      </c>
    </row>
    <row r="540" spans="34:38" x14ac:dyDescent="0.4">
      <c r="AH540" s="71" t="s">
        <v>94</v>
      </c>
      <c r="AI540" s="71" t="s">
        <v>96</v>
      </c>
      <c r="AJ540" s="71" t="s">
        <v>104</v>
      </c>
      <c r="AK540" s="71" t="s">
        <v>97</v>
      </c>
      <c r="AL540" s="14" t="s">
        <v>98</v>
      </c>
    </row>
    <row r="541" spans="34:38" x14ac:dyDescent="0.4">
      <c r="AH541" s="71" t="s">
        <v>94</v>
      </c>
      <c r="AI541" s="71" t="s">
        <v>96</v>
      </c>
      <c r="AJ541" s="71" t="s">
        <v>104</v>
      </c>
      <c r="AK541" s="71" t="s">
        <v>96</v>
      </c>
      <c r="AL541" s="14" t="s">
        <v>98</v>
      </c>
    </row>
    <row r="542" spans="34:38" x14ac:dyDescent="0.4">
      <c r="AH542" s="71" t="s">
        <v>94</v>
      </c>
      <c r="AI542" s="71" t="s">
        <v>96</v>
      </c>
      <c r="AJ542" s="71" t="s">
        <v>104</v>
      </c>
      <c r="AK542" s="71" t="s">
        <v>104</v>
      </c>
      <c r="AL542" s="14" t="s">
        <v>98</v>
      </c>
    </row>
    <row r="543" spans="34:38" x14ac:dyDescent="0.4">
      <c r="AH543" s="71" t="s">
        <v>94</v>
      </c>
      <c r="AI543" s="71" t="s">
        <v>96</v>
      </c>
      <c r="AJ543" s="71" t="s">
        <v>104</v>
      </c>
      <c r="AK543" s="71" t="s">
        <v>101</v>
      </c>
      <c r="AL543" s="14" t="s">
        <v>98</v>
      </c>
    </row>
    <row r="544" spans="34:38" x14ac:dyDescent="0.4">
      <c r="AH544" s="71" t="s">
        <v>94</v>
      </c>
      <c r="AI544" s="71" t="s">
        <v>96</v>
      </c>
      <c r="AJ544" s="71" t="s">
        <v>104</v>
      </c>
      <c r="AK544" s="71" t="s">
        <v>94</v>
      </c>
      <c r="AL544" s="14" t="s">
        <v>98</v>
      </c>
    </row>
    <row r="545" spans="34:38" x14ac:dyDescent="0.4">
      <c r="AH545" s="71" t="s">
        <v>94</v>
      </c>
      <c r="AI545" s="71" t="s">
        <v>96</v>
      </c>
      <c r="AJ545" s="71" t="s">
        <v>101</v>
      </c>
      <c r="AK545" s="71" t="s">
        <v>97</v>
      </c>
      <c r="AL545" s="14" t="s">
        <v>98</v>
      </c>
    </row>
    <row r="546" spans="34:38" x14ac:dyDescent="0.4">
      <c r="AH546" s="71" t="s">
        <v>94</v>
      </c>
      <c r="AI546" s="71" t="s">
        <v>96</v>
      </c>
      <c r="AJ546" s="71" t="s">
        <v>101</v>
      </c>
      <c r="AK546" s="71" t="s">
        <v>96</v>
      </c>
      <c r="AL546" s="14" t="s">
        <v>98</v>
      </c>
    </row>
    <row r="547" spans="34:38" x14ac:dyDescent="0.4">
      <c r="AH547" s="71" t="s">
        <v>94</v>
      </c>
      <c r="AI547" s="71" t="s">
        <v>96</v>
      </c>
      <c r="AJ547" s="71" t="s">
        <v>101</v>
      </c>
      <c r="AK547" s="71" t="s">
        <v>104</v>
      </c>
      <c r="AL547" s="14" t="s">
        <v>98</v>
      </c>
    </row>
    <row r="548" spans="34:38" x14ac:dyDescent="0.4">
      <c r="AH548" s="71" t="s">
        <v>94</v>
      </c>
      <c r="AI548" s="71" t="s">
        <v>96</v>
      </c>
      <c r="AJ548" s="71" t="s">
        <v>101</v>
      </c>
      <c r="AK548" s="71" t="s">
        <v>101</v>
      </c>
      <c r="AL548" s="14" t="s">
        <v>98</v>
      </c>
    </row>
    <row r="549" spans="34:38" x14ac:dyDescent="0.4">
      <c r="AH549" s="71" t="s">
        <v>94</v>
      </c>
      <c r="AI549" s="71" t="s">
        <v>96</v>
      </c>
      <c r="AJ549" s="71" t="s">
        <v>101</v>
      </c>
      <c r="AK549" s="71" t="s">
        <v>94</v>
      </c>
      <c r="AL549" s="14" t="s">
        <v>98</v>
      </c>
    </row>
    <row r="550" spans="34:38" x14ac:dyDescent="0.4">
      <c r="AH550" s="71" t="s">
        <v>94</v>
      </c>
      <c r="AI550" s="71" t="s">
        <v>96</v>
      </c>
      <c r="AJ550" s="71" t="s">
        <v>94</v>
      </c>
      <c r="AK550" s="71" t="s">
        <v>97</v>
      </c>
      <c r="AL550" s="14" t="s">
        <v>98</v>
      </c>
    </row>
    <row r="551" spans="34:38" x14ac:dyDescent="0.4">
      <c r="AH551" s="71" t="s">
        <v>94</v>
      </c>
      <c r="AI551" s="71" t="s">
        <v>96</v>
      </c>
      <c r="AJ551" s="71" t="s">
        <v>94</v>
      </c>
      <c r="AK551" s="71" t="s">
        <v>96</v>
      </c>
      <c r="AL551" s="14" t="s">
        <v>98</v>
      </c>
    </row>
    <row r="552" spans="34:38" x14ac:dyDescent="0.4">
      <c r="AH552" s="71" t="s">
        <v>94</v>
      </c>
      <c r="AI552" s="71" t="s">
        <v>96</v>
      </c>
      <c r="AJ552" s="71" t="s">
        <v>94</v>
      </c>
      <c r="AK552" s="71" t="s">
        <v>104</v>
      </c>
      <c r="AL552" s="14" t="s">
        <v>98</v>
      </c>
    </row>
    <row r="553" spans="34:38" x14ac:dyDescent="0.4">
      <c r="AH553" s="71" t="s">
        <v>94</v>
      </c>
      <c r="AI553" s="71" t="s">
        <v>96</v>
      </c>
      <c r="AJ553" s="71" t="s">
        <v>94</v>
      </c>
      <c r="AK553" s="71" t="s">
        <v>101</v>
      </c>
      <c r="AL553" s="14" t="s">
        <v>98</v>
      </c>
    </row>
    <row r="554" spans="34:38" x14ac:dyDescent="0.4">
      <c r="AH554" s="71" t="s">
        <v>94</v>
      </c>
      <c r="AI554" s="71" t="s">
        <v>96</v>
      </c>
      <c r="AJ554" s="71" t="s">
        <v>94</v>
      </c>
      <c r="AK554" s="71" t="s">
        <v>94</v>
      </c>
      <c r="AL554" s="14" t="s">
        <v>98</v>
      </c>
    </row>
    <row r="555" spans="34:38" x14ac:dyDescent="0.4">
      <c r="AH555" s="71" t="s">
        <v>94</v>
      </c>
      <c r="AI555" s="71" t="s">
        <v>104</v>
      </c>
      <c r="AJ555" s="71" t="s">
        <v>97</v>
      </c>
      <c r="AK555" s="71" t="s">
        <v>97</v>
      </c>
      <c r="AL555" s="14" t="s">
        <v>98</v>
      </c>
    </row>
    <row r="556" spans="34:38" x14ac:dyDescent="0.4">
      <c r="AH556" s="71" t="s">
        <v>94</v>
      </c>
      <c r="AI556" s="71" t="s">
        <v>104</v>
      </c>
      <c r="AJ556" s="71" t="s">
        <v>97</v>
      </c>
      <c r="AK556" s="71" t="s">
        <v>96</v>
      </c>
      <c r="AL556" s="14" t="s">
        <v>98</v>
      </c>
    </row>
    <row r="557" spans="34:38" x14ac:dyDescent="0.4">
      <c r="AH557" s="71" t="s">
        <v>94</v>
      </c>
      <c r="AI557" s="71" t="s">
        <v>104</v>
      </c>
      <c r="AJ557" s="71" t="s">
        <v>97</v>
      </c>
      <c r="AK557" s="71" t="s">
        <v>104</v>
      </c>
      <c r="AL557" s="14" t="s">
        <v>98</v>
      </c>
    </row>
    <row r="558" spans="34:38" x14ac:dyDescent="0.4">
      <c r="AH558" s="71" t="s">
        <v>94</v>
      </c>
      <c r="AI558" s="71" t="s">
        <v>104</v>
      </c>
      <c r="AJ558" s="71" t="s">
        <v>97</v>
      </c>
      <c r="AK558" s="71" t="s">
        <v>101</v>
      </c>
      <c r="AL558" s="14" t="s">
        <v>98</v>
      </c>
    </row>
    <row r="559" spans="34:38" x14ac:dyDescent="0.4">
      <c r="AH559" s="71" t="s">
        <v>94</v>
      </c>
      <c r="AI559" s="71" t="s">
        <v>104</v>
      </c>
      <c r="AJ559" s="71" t="s">
        <v>97</v>
      </c>
      <c r="AK559" s="71" t="s">
        <v>94</v>
      </c>
      <c r="AL559" s="14" t="s">
        <v>98</v>
      </c>
    </row>
    <row r="560" spans="34:38" x14ac:dyDescent="0.4">
      <c r="AH560" s="71" t="s">
        <v>94</v>
      </c>
      <c r="AI560" s="71" t="s">
        <v>104</v>
      </c>
      <c r="AJ560" s="71" t="s">
        <v>96</v>
      </c>
      <c r="AK560" s="71" t="s">
        <v>97</v>
      </c>
      <c r="AL560" s="14" t="s">
        <v>98</v>
      </c>
    </row>
    <row r="561" spans="34:38" x14ac:dyDescent="0.4">
      <c r="AH561" s="71" t="s">
        <v>94</v>
      </c>
      <c r="AI561" s="71" t="s">
        <v>104</v>
      </c>
      <c r="AJ561" s="71" t="s">
        <v>96</v>
      </c>
      <c r="AK561" s="71" t="s">
        <v>96</v>
      </c>
      <c r="AL561" s="14" t="s">
        <v>98</v>
      </c>
    </row>
    <row r="562" spans="34:38" x14ac:dyDescent="0.4">
      <c r="AH562" s="71" t="s">
        <v>94</v>
      </c>
      <c r="AI562" s="71" t="s">
        <v>104</v>
      </c>
      <c r="AJ562" s="71" t="s">
        <v>96</v>
      </c>
      <c r="AK562" s="71" t="s">
        <v>104</v>
      </c>
      <c r="AL562" s="14" t="s">
        <v>98</v>
      </c>
    </row>
    <row r="563" spans="34:38" x14ac:dyDescent="0.4">
      <c r="AH563" s="71" t="s">
        <v>94</v>
      </c>
      <c r="AI563" s="71" t="s">
        <v>104</v>
      </c>
      <c r="AJ563" s="71" t="s">
        <v>96</v>
      </c>
      <c r="AK563" s="71" t="s">
        <v>101</v>
      </c>
      <c r="AL563" s="14" t="s">
        <v>98</v>
      </c>
    </row>
    <row r="564" spans="34:38" x14ac:dyDescent="0.4">
      <c r="AH564" s="71" t="s">
        <v>94</v>
      </c>
      <c r="AI564" s="71" t="s">
        <v>104</v>
      </c>
      <c r="AJ564" s="71" t="s">
        <v>96</v>
      </c>
      <c r="AK564" s="71" t="s">
        <v>94</v>
      </c>
      <c r="AL564" s="14" t="s">
        <v>98</v>
      </c>
    </row>
    <row r="565" spans="34:38" x14ac:dyDescent="0.4">
      <c r="AH565" s="71" t="s">
        <v>94</v>
      </c>
      <c r="AI565" s="71" t="s">
        <v>104</v>
      </c>
      <c r="AJ565" s="71" t="s">
        <v>104</v>
      </c>
      <c r="AK565" s="71" t="s">
        <v>97</v>
      </c>
      <c r="AL565" s="14" t="s">
        <v>98</v>
      </c>
    </row>
    <row r="566" spans="34:38" x14ac:dyDescent="0.4">
      <c r="AH566" s="71" t="s">
        <v>94</v>
      </c>
      <c r="AI566" s="71" t="s">
        <v>104</v>
      </c>
      <c r="AJ566" s="71" t="s">
        <v>104</v>
      </c>
      <c r="AK566" s="71" t="s">
        <v>96</v>
      </c>
      <c r="AL566" s="14" t="s">
        <v>98</v>
      </c>
    </row>
    <row r="567" spans="34:38" x14ac:dyDescent="0.4">
      <c r="AH567" s="71" t="s">
        <v>94</v>
      </c>
      <c r="AI567" s="71" t="s">
        <v>104</v>
      </c>
      <c r="AJ567" s="71" t="s">
        <v>104</v>
      </c>
      <c r="AK567" s="71" t="s">
        <v>104</v>
      </c>
      <c r="AL567" s="14" t="s">
        <v>98</v>
      </c>
    </row>
    <row r="568" spans="34:38" x14ac:dyDescent="0.4">
      <c r="AH568" s="71" t="s">
        <v>94</v>
      </c>
      <c r="AI568" s="71" t="s">
        <v>104</v>
      </c>
      <c r="AJ568" s="71" t="s">
        <v>104</v>
      </c>
      <c r="AK568" s="71" t="s">
        <v>101</v>
      </c>
      <c r="AL568" s="14" t="s">
        <v>98</v>
      </c>
    </row>
    <row r="569" spans="34:38" x14ac:dyDescent="0.4">
      <c r="AH569" s="71" t="s">
        <v>94</v>
      </c>
      <c r="AI569" s="71" t="s">
        <v>104</v>
      </c>
      <c r="AJ569" s="71" t="s">
        <v>104</v>
      </c>
      <c r="AK569" s="71" t="s">
        <v>94</v>
      </c>
      <c r="AL569" s="14" t="s">
        <v>98</v>
      </c>
    </row>
    <row r="570" spans="34:38" x14ac:dyDescent="0.4">
      <c r="AH570" s="71" t="s">
        <v>94</v>
      </c>
      <c r="AI570" s="71" t="s">
        <v>104</v>
      </c>
      <c r="AJ570" s="71" t="s">
        <v>101</v>
      </c>
      <c r="AK570" s="71" t="s">
        <v>97</v>
      </c>
      <c r="AL570" s="14" t="s">
        <v>98</v>
      </c>
    </row>
    <row r="571" spans="34:38" x14ac:dyDescent="0.4">
      <c r="AH571" s="71" t="s">
        <v>94</v>
      </c>
      <c r="AI571" s="71" t="s">
        <v>104</v>
      </c>
      <c r="AJ571" s="71" t="s">
        <v>101</v>
      </c>
      <c r="AK571" s="71" t="s">
        <v>96</v>
      </c>
      <c r="AL571" s="14" t="s">
        <v>98</v>
      </c>
    </row>
    <row r="572" spans="34:38" x14ac:dyDescent="0.4">
      <c r="AH572" s="71" t="s">
        <v>94</v>
      </c>
      <c r="AI572" s="71" t="s">
        <v>104</v>
      </c>
      <c r="AJ572" s="71" t="s">
        <v>101</v>
      </c>
      <c r="AK572" s="71" t="s">
        <v>104</v>
      </c>
      <c r="AL572" s="14" t="s">
        <v>98</v>
      </c>
    </row>
    <row r="573" spans="34:38" x14ac:dyDescent="0.4">
      <c r="AH573" s="71" t="s">
        <v>94</v>
      </c>
      <c r="AI573" s="71" t="s">
        <v>104</v>
      </c>
      <c r="AJ573" s="71" t="s">
        <v>101</v>
      </c>
      <c r="AK573" s="71" t="s">
        <v>101</v>
      </c>
      <c r="AL573" s="14" t="s">
        <v>98</v>
      </c>
    </row>
    <row r="574" spans="34:38" x14ac:dyDescent="0.4">
      <c r="AH574" s="71" t="s">
        <v>94</v>
      </c>
      <c r="AI574" s="71" t="s">
        <v>104</v>
      </c>
      <c r="AJ574" s="71" t="s">
        <v>101</v>
      </c>
      <c r="AK574" s="71" t="s">
        <v>94</v>
      </c>
      <c r="AL574" s="14" t="s">
        <v>129</v>
      </c>
    </row>
    <row r="575" spans="34:38" x14ac:dyDescent="0.4">
      <c r="AH575" s="71" t="s">
        <v>94</v>
      </c>
      <c r="AI575" s="71" t="s">
        <v>104</v>
      </c>
      <c r="AJ575" s="71" t="s">
        <v>94</v>
      </c>
      <c r="AK575" s="71" t="s">
        <v>97</v>
      </c>
      <c r="AL575" s="14" t="s">
        <v>98</v>
      </c>
    </row>
    <row r="576" spans="34:38" x14ac:dyDescent="0.4">
      <c r="AH576" s="71" t="s">
        <v>94</v>
      </c>
      <c r="AI576" s="71" t="s">
        <v>104</v>
      </c>
      <c r="AJ576" s="71" t="s">
        <v>94</v>
      </c>
      <c r="AK576" s="71" t="s">
        <v>96</v>
      </c>
      <c r="AL576" s="14" t="s">
        <v>98</v>
      </c>
    </row>
    <row r="577" spans="34:38" x14ac:dyDescent="0.4">
      <c r="AH577" s="71" t="s">
        <v>94</v>
      </c>
      <c r="AI577" s="71" t="s">
        <v>104</v>
      </c>
      <c r="AJ577" s="71" t="s">
        <v>94</v>
      </c>
      <c r="AK577" s="71" t="s">
        <v>104</v>
      </c>
      <c r="AL577" s="14" t="s">
        <v>98</v>
      </c>
    </row>
    <row r="578" spans="34:38" x14ac:dyDescent="0.4">
      <c r="AH578" s="71" t="s">
        <v>94</v>
      </c>
      <c r="AI578" s="71" t="s">
        <v>104</v>
      </c>
      <c r="AJ578" s="71" t="s">
        <v>94</v>
      </c>
      <c r="AK578" s="71" t="s">
        <v>101</v>
      </c>
      <c r="AL578" s="14" t="s">
        <v>98</v>
      </c>
    </row>
    <row r="579" spans="34:38" x14ac:dyDescent="0.4">
      <c r="AH579" s="71" t="s">
        <v>94</v>
      </c>
      <c r="AI579" s="71" t="s">
        <v>104</v>
      </c>
      <c r="AJ579" s="71" t="s">
        <v>94</v>
      </c>
      <c r="AK579" s="71" t="s">
        <v>94</v>
      </c>
      <c r="AL579" s="14" t="s">
        <v>129</v>
      </c>
    </row>
    <row r="580" spans="34:38" x14ac:dyDescent="0.4">
      <c r="AH580" s="71" t="s">
        <v>94</v>
      </c>
      <c r="AI580" s="71" t="s">
        <v>101</v>
      </c>
      <c r="AJ580" s="71" t="s">
        <v>97</v>
      </c>
      <c r="AK580" s="71" t="s">
        <v>97</v>
      </c>
      <c r="AL580" s="14" t="s">
        <v>98</v>
      </c>
    </row>
    <row r="581" spans="34:38" x14ac:dyDescent="0.4">
      <c r="AH581" s="71" t="s">
        <v>94</v>
      </c>
      <c r="AI581" s="71" t="s">
        <v>101</v>
      </c>
      <c r="AJ581" s="71" t="s">
        <v>97</v>
      </c>
      <c r="AK581" s="71" t="s">
        <v>96</v>
      </c>
      <c r="AL581" s="14" t="s">
        <v>98</v>
      </c>
    </row>
    <row r="582" spans="34:38" x14ac:dyDescent="0.4">
      <c r="AH582" s="71" t="s">
        <v>94</v>
      </c>
      <c r="AI582" s="71" t="s">
        <v>101</v>
      </c>
      <c r="AJ582" s="71" t="s">
        <v>97</v>
      </c>
      <c r="AK582" s="71" t="s">
        <v>104</v>
      </c>
      <c r="AL582" s="14" t="s">
        <v>98</v>
      </c>
    </row>
    <row r="583" spans="34:38" x14ac:dyDescent="0.4">
      <c r="AH583" s="71" t="s">
        <v>94</v>
      </c>
      <c r="AI583" s="71" t="s">
        <v>101</v>
      </c>
      <c r="AJ583" s="71" t="s">
        <v>97</v>
      </c>
      <c r="AK583" s="71" t="s">
        <v>101</v>
      </c>
      <c r="AL583" s="14" t="s">
        <v>98</v>
      </c>
    </row>
    <row r="584" spans="34:38" x14ac:dyDescent="0.4">
      <c r="AH584" s="71" t="s">
        <v>94</v>
      </c>
      <c r="AI584" s="71" t="s">
        <v>101</v>
      </c>
      <c r="AJ584" s="71" t="s">
        <v>97</v>
      </c>
      <c r="AK584" s="71" t="s">
        <v>94</v>
      </c>
      <c r="AL584" s="14" t="s">
        <v>98</v>
      </c>
    </row>
    <row r="585" spans="34:38" x14ac:dyDescent="0.4">
      <c r="AH585" s="71" t="s">
        <v>94</v>
      </c>
      <c r="AI585" s="71" t="s">
        <v>101</v>
      </c>
      <c r="AJ585" s="71" t="s">
        <v>96</v>
      </c>
      <c r="AK585" s="71" t="s">
        <v>97</v>
      </c>
      <c r="AL585" s="14" t="s">
        <v>98</v>
      </c>
    </row>
    <row r="586" spans="34:38" x14ac:dyDescent="0.4">
      <c r="AH586" s="71" t="s">
        <v>94</v>
      </c>
      <c r="AI586" s="71" t="s">
        <v>101</v>
      </c>
      <c r="AJ586" s="71" t="s">
        <v>96</v>
      </c>
      <c r="AK586" s="71" t="s">
        <v>96</v>
      </c>
      <c r="AL586" s="14" t="s">
        <v>98</v>
      </c>
    </row>
    <row r="587" spans="34:38" x14ac:dyDescent="0.4">
      <c r="AH587" s="71" t="s">
        <v>94</v>
      </c>
      <c r="AI587" s="71" t="s">
        <v>101</v>
      </c>
      <c r="AJ587" s="71" t="s">
        <v>96</v>
      </c>
      <c r="AK587" s="71" t="s">
        <v>104</v>
      </c>
      <c r="AL587" s="14" t="s">
        <v>98</v>
      </c>
    </row>
    <row r="588" spans="34:38" x14ac:dyDescent="0.4">
      <c r="AH588" s="71" t="s">
        <v>94</v>
      </c>
      <c r="AI588" s="71" t="s">
        <v>101</v>
      </c>
      <c r="AJ588" s="71" t="s">
        <v>96</v>
      </c>
      <c r="AK588" s="71" t="s">
        <v>101</v>
      </c>
      <c r="AL588" s="14" t="s">
        <v>98</v>
      </c>
    </row>
    <row r="589" spans="34:38" x14ac:dyDescent="0.4">
      <c r="AH589" s="71" t="s">
        <v>94</v>
      </c>
      <c r="AI589" s="71" t="s">
        <v>101</v>
      </c>
      <c r="AJ589" s="71" t="s">
        <v>96</v>
      </c>
      <c r="AK589" s="71" t="s">
        <v>94</v>
      </c>
      <c r="AL589" s="14" t="s">
        <v>98</v>
      </c>
    </row>
    <row r="590" spans="34:38" x14ac:dyDescent="0.4">
      <c r="AH590" s="71" t="s">
        <v>94</v>
      </c>
      <c r="AI590" s="71" t="s">
        <v>101</v>
      </c>
      <c r="AJ590" s="71" t="s">
        <v>104</v>
      </c>
      <c r="AK590" s="71" t="s">
        <v>97</v>
      </c>
      <c r="AL590" s="14" t="s">
        <v>98</v>
      </c>
    </row>
    <row r="591" spans="34:38" x14ac:dyDescent="0.4">
      <c r="AH591" s="71" t="s">
        <v>94</v>
      </c>
      <c r="AI591" s="71" t="s">
        <v>101</v>
      </c>
      <c r="AJ591" s="71" t="s">
        <v>104</v>
      </c>
      <c r="AK591" s="71" t="s">
        <v>96</v>
      </c>
      <c r="AL591" s="14" t="s">
        <v>98</v>
      </c>
    </row>
    <row r="592" spans="34:38" x14ac:dyDescent="0.4">
      <c r="AH592" s="71" t="s">
        <v>94</v>
      </c>
      <c r="AI592" s="71" t="s">
        <v>101</v>
      </c>
      <c r="AJ592" s="71" t="s">
        <v>104</v>
      </c>
      <c r="AK592" s="71" t="s">
        <v>104</v>
      </c>
      <c r="AL592" s="14" t="s">
        <v>98</v>
      </c>
    </row>
    <row r="593" spans="34:38" x14ac:dyDescent="0.4">
      <c r="AH593" s="71" t="s">
        <v>94</v>
      </c>
      <c r="AI593" s="71" t="s">
        <v>101</v>
      </c>
      <c r="AJ593" s="71" t="s">
        <v>104</v>
      </c>
      <c r="AK593" s="71" t="s">
        <v>101</v>
      </c>
      <c r="AL593" s="14" t="s">
        <v>98</v>
      </c>
    </row>
    <row r="594" spans="34:38" x14ac:dyDescent="0.4">
      <c r="AH594" s="71" t="s">
        <v>94</v>
      </c>
      <c r="AI594" s="71" t="s">
        <v>101</v>
      </c>
      <c r="AJ594" s="71" t="s">
        <v>104</v>
      </c>
      <c r="AK594" s="71" t="s">
        <v>94</v>
      </c>
      <c r="AL594" s="14" t="s">
        <v>98</v>
      </c>
    </row>
    <row r="595" spans="34:38" x14ac:dyDescent="0.4">
      <c r="AH595" s="71" t="s">
        <v>94</v>
      </c>
      <c r="AI595" s="71" t="s">
        <v>101</v>
      </c>
      <c r="AJ595" s="71" t="s">
        <v>101</v>
      </c>
      <c r="AK595" s="71" t="s">
        <v>97</v>
      </c>
      <c r="AL595" s="14" t="s">
        <v>98</v>
      </c>
    </row>
    <row r="596" spans="34:38" x14ac:dyDescent="0.4">
      <c r="AH596" s="71" t="s">
        <v>94</v>
      </c>
      <c r="AI596" s="71" t="s">
        <v>101</v>
      </c>
      <c r="AJ596" s="71" t="s">
        <v>101</v>
      </c>
      <c r="AK596" s="71" t="s">
        <v>96</v>
      </c>
      <c r="AL596" s="14" t="s">
        <v>98</v>
      </c>
    </row>
    <row r="597" spans="34:38" x14ac:dyDescent="0.4">
      <c r="AH597" s="71" t="s">
        <v>94</v>
      </c>
      <c r="AI597" s="71" t="s">
        <v>101</v>
      </c>
      <c r="AJ597" s="71" t="s">
        <v>101</v>
      </c>
      <c r="AK597" s="71" t="s">
        <v>104</v>
      </c>
      <c r="AL597" s="14" t="s">
        <v>98</v>
      </c>
    </row>
    <row r="598" spans="34:38" x14ac:dyDescent="0.4">
      <c r="AH598" s="71" t="s">
        <v>94</v>
      </c>
      <c r="AI598" s="71" t="s">
        <v>101</v>
      </c>
      <c r="AJ598" s="71" t="s">
        <v>101</v>
      </c>
      <c r="AK598" s="71" t="s">
        <v>101</v>
      </c>
      <c r="AL598" s="14" t="s">
        <v>98</v>
      </c>
    </row>
    <row r="599" spans="34:38" x14ac:dyDescent="0.4">
      <c r="AH599" s="71" t="s">
        <v>94</v>
      </c>
      <c r="AI599" s="71" t="s">
        <v>101</v>
      </c>
      <c r="AJ599" s="71" t="s">
        <v>101</v>
      </c>
      <c r="AK599" s="71" t="s">
        <v>94</v>
      </c>
      <c r="AL599" s="14" t="s">
        <v>129</v>
      </c>
    </row>
    <row r="600" spans="34:38" x14ac:dyDescent="0.4">
      <c r="AH600" s="71" t="s">
        <v>94</v>
      </c>
      <c r="AI600" s="71" t="s">
        <v>101</v>
      </c>
      <c r="AJ600" s="71" t="s">
        <v>94</v>
      </c>
      <c r="AK600" s="71" t="s">
        <v>97</v>
      </c>
      <c r="AL600" s="14" t="s">
        <v>98</v>
      </c>
    </row>
    <row r="601" spans="34:38" x14ac:dyDescent="0.4">
      <c r="AH601" s="71" t="s">
        <v>94</v>
      </c>
      <c r="AI601" s="71" t="s">
        <v>101</v>
      </c>
      <c r="AJ601" s="71" t="s">
        <v>94</v>
      </c>
      <c r="AK601" s="71" t="s">
        <v>96</v>
      </c>
      <c r="AL601" s="14" t="s">
        <v>98</v>
      </c>
    </row>
    <row r="602" spans="34:38" x14ac:dyDescent="0.4">
      <c r="AH602" s="71" t="s">
        <v>94</v>
      </c>
      <c r="AI602" s="71" t="s">
        <v>101</v>
      </c>
      <c r="AJ602" s="71" t="s">
        <v>94</v>
      </c>
      <c r="AK602" s="71" t="s">
        <v>104</v>
      </c>
      <c r="AL602" s="14" t="s">
        <v>98</v>
      </c>
    </row>
    <row r="603" spans="34:38" x14ac:dyDescent="0.4">
      <c r="AH603" s="71" t="s">
        <v>94</v>
      </c>
      <c r="AI603" s="71" t="s">
        <v>101</v>
      </c>
      <c r="AJ603" s="71" t="s">
        <v>94</v>
      </c>
      <c r="AK603" s="71" t="s">
        <v>101</v>
      </c>
      <c r="AL603" s="14" t="s">
        <v>98</v>
      </c>
    </row>
    <row r="604" spans="34:38" x14ac:dyDescent="0.4">
      <c r="AH604" s="71" t="s">
        <v>94</v>
      </c>
      <c r="AI604" s="71" t="s">
        <v>101</v>
      </c>
      <c r="AJ604" s="71" t="s">
        <v>94</v>
      </c>
      <c r="AK604" s="71" t="s">
        <v>94</v>
      </c>
      <c r="AL604" s="14" t="s">
        <v>129</v>
      </c>
    </row>
    <row r="605" spans="34:38" x14ac:dyDescent="0.4">
      <c r="AH605" s="71" t="s">
        <v>94</v>
      </c>
      <c r="AI605" s="71" t="s">
        <v>94</v>
      </c>
      <c r="AJ605" s="71" t="s">
        <v>97</v>
      </c>
      <c r="AK605" s="71" t="s">
        <v>97</v>
      </c>
      <c r="AL605" s="14" t="s">
        <v>98</v>
      </c>
    </row>
    <row r="606" spans="34:38" x14ac:dyDescent="0.4">
      <c r="AH606" s="71" t="s">
        <v>94</v>
      </c>
      <c r="AI606" s="71" t="s">
        <v>94</v>
      </c>
      <c r="AJ606" s="71" t="s">
        <v>97</v>
      </c>
      <c r="AK606" s="71" t="s">
        <v>96</v>
      </c>
      <c r="AL606" s="14" t="s">
        <v>98</v>
      </c>
    </row>
    <row r="607" spans="34:38" x14ac:dyDescent="0.4">
      <c r="AH607" s="71" t="s">
        <v>94</v>
      </c>
      <c r="AI607" s="71" t="s">
        <v>94</v>
      </c>
      <c r="AJ607" s="71" t="s">
        <v>97</v>
      </c>
      <c r="AK607" s="71" t="s">
        <v>104</v>
      </c>
      <c r="AL607" s="14" t="s">
        <v>98</v>
      </c>
    </row>
    <row r="608" spans="34:38" x14ac:dyDescent="0.4">
      <c r="AH608" s="71" t="s">
        <v>94</v>
      </c>
      <c r="AI608" s="71" t="s">
        <v>94</v>
      </c>
      <c r="AJ608" s="71" t="s">
        <v>97</v>
      </c>
      <c r="AK608" s="71" t="s">
        <v>101</v>
      </c>
      <c r="AL608" s="14" t="s">
        <v>98</v>
      </c>
    </row>
    <row r="609" spans="34:38" x14ac:dyDescent="0.4">
      <c r="AH609" s="71" t="s">
        <v>94</v>
      </c>
      <c r="AI609" s="71" t="s">
        <v>94</v>
      </c>
      <c r="AJ609" s="71" t="s">
        <v>97</v>
      </c>
      <c r="AK609" s="71" t="s">
        <v>94</v>
      </c>
      <c r="AL609" s="14" t="s">
        <v>98</v>
      </c>
    </row>
    <row r="610" spans="34:38" x14ac:dyDescent="0.4">
      <c r="AH610" s="71" t="s">
        <v>94</v>
      </c>
      <c r="AI610" s="71" t="s">
        <v>94</v>
      </c>
      <c r="AJ610" s="71" t="s">
        <v>96</v>
      </c>
      <c r="AK610" s="71" t="s">
        <v>97</v>
      </c>
      <c r="AL610" s="14" t="s">
        <v>98</v>
      </c>
    </row>
    <row r="611" spans="34:38" x14ac:dyDescent="0.4">
      <c r="AH611" s="71" t="s">
        <v>94</v>
      </c>
      <c r="AI611" s="71" t="s">
        <v>94</v>
      </c>
      <c r="AJ611" s="71" t="s">
        <v>96</v>
      </c>
      <c r="AK611" s="71" t="s">
        <v>96</v>
      </c>
      <c r="AL611" s="14" t="s">
        <v>98</v>
      </c>
    </row>
    <row r="612" spans="34:38" x14ac:dyDescent="0.4">
      <c r="AH612" s="71" t="s">
        <v>94</v>
      </c>
      <c r="AI612" s="71" t="s">
        <v>94</v>
      </c>
      <c r="AJ612" s="71" t="s">
        <v>96</v>
      </c>
      <c r="AK612" s="71" t="s">
        <v>104</v>
      </c>
      <c r="AL612" s="14" t="s">
        <v>98</v>
      </c>
    </row>
    <row r="613" spans="34:38" x14ac:dyDescent="0.4">
      <c r="AH613" s="71" t="s">
        <v>94</v>
      </c>
      <c r="AI613" s="71" t="s">
        <v>94</v>
      </c>
      <c r="AJ613" s="71" t="s">
        <v>96</v>
      </c>
      <c r="AK613" s="71" t="s">
        <v>101</v>
      </c>
      <c r="AL613" s="14" t="s">
        <v>98</v>
      </c>
    </row>
    <row r="614" spans="34:38" x14ac:dyDescent="0.4">
      <c r="AH614" s="71" t="s">
        <v>94</v>
      </c>
      <c r="AI614" s="71" t="s">
        <v>94</v>
      </c>
      <c r="AJ614" s="71" t="s">
        <v>96</v>
      </c>
      <c r="AK614" s="71" t="s">
        <v>94</v>
      </c>
      <c r="AL614" s="14" t="s">
        <v>98</v>
      </c>
    </row>
    <row r="615" spans="34:38" x14ac:dyDescent="0.4">
      <c r="AH615" s="71" t="s">
        <v>94</v>
      </c>
      <c r="AI615" s="71" t="s">
        <v>94</v>
      </c>
      <c r="AJ615" s="71" t="s">
        <v>104</v>
      </c>
      <c r="AK615" s="71" t="s">
        <v>97</v>
      </c>
      <c r="AL615" s="14" t="s">
        <v>98</v>
      </c>
    </row>
    <row r="616" spans="34:38" x14ac:dyDescent="0.4">
      <c r="AH616" s="71" t="s">
        <v>94</v>
      </c>
      <c r="AI616" s="71" t="s">
        <v>94</v>
      </c>
      <c r="AJ616" s="71" t="s">
        <v>104</v>
      </c>
      <c r="AK616" s="71" t="s">
        <v>96</v>
      </c>
      <c r="AL616" s="14" t="s">
        <v>98</v>
      </c>
    </row>
    <row r="617" spans="34:38" x14ac:dyDescent="0.4">
      <c r="AH617" s="71" t="s">
        <v>94</v>
      </c>
      <c r="AI617" s="71" t="s">
        <v>94</v>
      </c>
      <c r="AJ617" s="71" t="s">
        <v>104</v>
      </c>
      <c r="AK617" s="71" t="s">
        <v>104</v>
      </c>
      <c r="AL617" s="14" t="s">
        <v>98</v>
      </c>
    </row>
    <row r="618" spans="34:38" x14ac:dyDescent="0.4">
      <c r="AH618" s="71" t="s">
        <v>94</v>
      </c>
      <c r="AI618" s="71" t="s">
        <v>94</v>
      </c>
      <c r="AJ618" s="71" t="s">
        <v>104</v>
      </c>
      <c r="AK618" s="71" t="s">
        <v>101</v>
      </c>
      <c r="AL618" s="14" t="s">
        <v>98</v>
      </c>
    </row>
    <row r="619" spans="34:38" x14ac:dyDescent="0.4">
      <c r="AH619" s="71" t="s">
        <v>94</v>
      </c>
      <c r="AI619" s="71" t="s">
        <v>94</v>
      </c>
      <c r="AJ619" s="71" t="s">
        <v>104</v>
      </c>
      <c r="AK619" s="71" t="s">
        <v>94</v>
      </c>
      <c r="AL619" s="14" t="s">
        <v>98</v>
      </c>
    </row>
    <row r="620" spans="34:38" x14ac:dyDescent="0.4">
      <c r="AH620" s="71" t="s">
        <v>94</v>
      </c>
      <c r="AI620" s="71" t="s">
        <v>94</v>
      </c>
      <c r="AJ620" s="71" t="s">
        <v>101</v>
      </c>
      <c r="AK620" s="71" t="s">
        <v>97</v>
      </c>
      <c r="AL620" s="14" t="s">
        <v>98</v>
      </c>
    </row>
    <row r="621" spans="34:38" x14ac:dyDescent="0.4">
      <c r="AH621" s="71" t="s">
        <v>94</v>
      </c>
      <c r="AI621" s="71" t="s">
        <v>94</v>
      </c>
      <c r="AJ621" s="71" t="s">
        <v>101</v>
      </c>
      <c r="AK621" s="71" t="s">
        <v>96</v>
      </c>
      <c r="AL621" s="14" t="s">
        <v>98</v>
      </c>
    </row>
    <row r="622" spans="34:38" x14ac:dyDescent="0.4">
      <c r="AH622" s="71" t="s">
        <v>94</v>
      </c>
      <c r="AI622" s="71" t="s">
        <v>94</v>
      </c>
      <c r="AJ622" s="71" t="s">
        <v>101</v>
      </c>
      <c r="AK622" s="71" t="s">
        <v>104</v>
      </c>
      <c r="AL622" s="14" t="s">
        <v>98</v>
      </c>
    </row>
    <row r="623" spans="34:38" x14ac:dyDescent="0.4">
      <c r="AH623" s="71" t="s">
        <v>94</v>
      </c>
      <c r="AI623" s="71" t="s">
        <v>94</v>
      </c>
      <c r="AJ623" s="71" t="s">
        <v>101</v>
      </c>
      <c r="AK623" s="71" t="s">
        <v>101</v>
      </c>
      <c r="AL623" s="14" t="s">
        <v>98</v>
      </c>
    </row>
    <row r="624" spans="34:38" x14ac:dyDescent="0.4">
      <c r="AH624" s="71" t="s">
        <v>94</v>
      </c>
      <c r="AI624" s="71" t="s">
        <v>94</v>
      </c>
      <c r="AJ624" s="71" t="s">
        <v>101</v>
      </c>
      <c r="AK624" s="71" t="s">
        <v>94</v>
      </c>
      <c r="AL624" s="14" t="s">
        <v>129</v>
      </c>
    </row>
    <row r="625" spans="34:38" x14ac:dyDescent="0.4">
      <c r="AH625" s="71" t="s">
        <v>94</v>
      </c>
      <c r="AI625" s="71" t="s">
        <v>94</v>
      </c>
      <c r="AJ625" s="71" t="s">
        <v>94</v>
      </c>
      <c r="AK625" s="71" t="s">
        <v>97</v>
      </c>
      <c r="AL625" s="14" t="s">
        <v>98</v>
      </c>
    </row>
    <row r="626" spans="34:38" x14ac:dyDescent="0.4">
      <c r="AH626" s="71" t="s">
        <v>94</v>
      </c>
      <c r="AI626" s="71" t="s">
        <v>94</v>
      </c>
      <c r="AJ626" s="71" t="s">
        <v>94</v>
      </c>
      <c r="AK626" s="71" t="s">
        <v>96</v>
      </c>
      <c r="AL626" s="14" t="s">
        <v>98</v>
      </c>
    </row>
    <row r="627" spans="34:38" x14ac:dyDescent="0.4">
      <c r="AH627" s="71" t="s">
        <v>94</v>
      </c>
      <c r="AI627" s="71" t="s">
        <v>94</v>
      </c>
      <c r="AJ627" s="71" t="s">
        <v>94</v>
      </c>
      <c r="AK627" s="71" t="s">
        <v>104</v>
      </c>
      <c r="AL627" s="14" t="s">
        <v>98</v>
      </c>
    </row>
    <row r="628" spans="34:38" x14ac:dyDescent="0.4">
      <c r="AH628" s="71" t="s">
        <v>94</v>
      </c>
      <c r="AI628" s="71" t="s">
        <v>94</v>
      </c>
      <c r="AJ628" s="71" t="s">
        <v>94</v>
      </c>
      <c r="AK628" s="71" t="s">
        <v>101</v>
      </c>
      <c r="AL628" s="14" t="s">
        <v>98</v>
      </c>
    </row>
    <row r="629" spans="34:38" x14ac:dyDescent="0.4">
      <c r="AH629" s="71" t="s">
        <v>94</v>
      </c>
      <c r="AI629" s="71" t="s">
        <v>94</v>
      </c>
      <c r="AJ629" s="71" t="s">
        <v>94</v>
      </c>
      <c r="AK629" s="71" t="s">
        <v>94</v>
      </c>
      <c r="AL629" s="14" t="s">
        <v>129</v>
      </c>
    </row>
  </sheetData>
  <sheetProtection algorithmName="SHA-512" hashValue="CkPPNmR3b/BrVijUSTHET57WAOtI+CTP9AIKpRKTb6dNaZwj6UmJD88NHuhIwZgf6Sh/m/cweYMVaYzNh4MkoA==" saltValue="xYWTho0EVWdDen9/g5Ux1Q==" spinCount="100000" sheet="1" objects="1" scenarios="1"/>
  <phoneticPr fontId="6" type="noConversion"/>
  <dataValidations count="2">
    <dataValidation type="date" allowBlank="1" showInputMessage="1" showErrorMessage="1" sqref="D5:D52" xr:uid="{07E15354-1DFD-4646-805F-3C42F22412CD}">
      <formula1>43831</formula1>
      <formula2>73051</formula2>
    </dataValidation>
    <dataValidation type="decimal" allowBlank="1" showInputMessage="1" showErrorMessage="1" sqref="I5:J52" xr:uid="{959DAC7F-5D06-4051-8571-91292F2DDE05}">
      <formula1>-1000000</formula1>
      <formula2>1000000</formula2>
    </dataValidation>
  </dataValidations>
  <pageMargins left="0.7" right="0.7" top="0.75" bottom="0.75" header="0.3" footer="0.3"/>
  <pageSetup orientation="portrait" r:id="rId1"/>
  <ignoredErrors>
    <ignoredError sqref="E7" formula="1"/>
    <ignoredError sqref="H21:H52" unlockedFormula="1"/>
    <ignoredError sqref="F58:F69 D58:D69 D74:D77 E74:E77" calculatedColum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D126DB80-F379-4E34-8929-BA39C7ADBFA0}">
          <x14:formula1>
            <xm:f>'Dropdown tables - Production'!$Z$2:$Z$16</xm:f>
          </x14:formula1>
          <xm:sqref>E37 E5 E21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4"/>
    <col min="2" max="2" width="0" style="14" hidden="1" customWidth="1"/>
    <col min="3" max="3" width="14.21875" style="14" hidden="1" customWidth="1"/>
    <col min="4" max="4" width="20.44140625" style="14" customWidth="1"/>
    <col min="5" max="5" width="26.5546875" style="14" bestFit="1" customWidth="1"/>
    <col min="6" max="6" width="24.5546875" style="14" bestFit="1" customWidth="1"/>
    <col min="7" max="7" width="25.21875" style="14" customWidth="1"/>
    <col min="8" max="8" width="25.77734375" style="14" customWidth="1"/>
    <col min="9" max="9" width="13.21875" style="14" customWidth="1"/>
    <col min="10" max="10" width="13.77734375" style="14" customWidth="1"/>
    <col min="11" max="11" width="17.21875" style="14" customWidth="1"/>
    <col min="12" max="26" width="9" style="14" customWidth="1"/>
    <col min="27" max="27" width="35" style="14" hidden="1" customWidth="1"/>
    <col min="28" max="28" width="17.44140625" style="14" hidden="1" customWidth="1"/>
    <col min="29" max="29" width="27.77734375" style="14" hidden="1" customWidth="1"/>
    <col min="30" max="35" width="9" style="14" hidden="1" customWidth="1"/>
    <col min="36" max="37" width="0" style="14" hidden="1" customWidth="1"/>
    <col min="38" max="16384" width="9" style="14"/>
  </cols>
  <sheetData>
    <row r="2" spans="3:35" x14ac:dyDescent="0.4">
      <c r="D2" s="17" t="s">
        <v>1906</v>
      </c>
      <c r="AA2" s="17" t="s">
        <v>71</v>
      </c>
      <c r="AG2" s="17" t="s">
        <v>72</v>
      </c>
    </row>
    <row r="3" spans="3:35" ht="18" hidden="1" x14ac:dyDescent="0.4">
      <c r="C3" s="189">
        <v>6.1</v>
      </c>
      <c r="D3" s="189">
        <v>6.2</v>
      </c>
      <c r="E3" s="189">
        <v>6.3</v>
      </c>
      <c r="F3" s="189">
        <v>6.4</v>
      </c>
      <c r="G3" s="189">
        <v>6.5</v>
      </c>
      <c r="H3" s="189">
        <v>6.6</v>
      </c>
      <c r="I3" s="189">
        <v>6.7</v>
      </c>
      <c r="J3" s="189">
        <v>6.8</v>
      </c>
      <c r="K3" s="189">
        <v>6</v>
      </c>
      <c r="AH3" s="19"/>
    </row>
    <row r="4" spans="3:35" ht="38.25" customHeight="1" thickBot="1" x14ac:dyDescent="0.45">
      <c r="C4" s="58" t="s">
        <v>40</v>
      </c>
      <c r="D4" s="57" t="s">
        <v>73</v>
      </c>
      <c r="E4" s="95" t="s">
        <v>74</v>
      </c>
      <c r="F4" s="90" t="s">
        <v>75</v>
      </c>
      <c r="G4" s="106" t="s">
        <v>76</v>
      </c>
      <c r="H4" s="90" t="s">
        <v>155</v>
      </c>
      <c r="I4" s="90" t="s">
        <v>78</v>
      </c>
      <c r="J4" s="90" t="s">
        <v>79</v>
      </c>
      <c r="K4" s="59" t="s">
        <v>52</v>
      </c>
      <c r="L4" s="77"/>
      <c r="AA4" s="89" t="s">
        <v>80</v>
      </c>
      <c r="AB4" s="90" t="s">
        <v>81</v>
      </c>
      <c r="AC4" s="90" t="s">
        <v>82</v>
      </c>
      <c r="AD4" s="90" t="s">
        <v>83</v>
      </c>
      <c r="AE4" s="91" t="s">
        <v>52</v>
      </c>
      <c r="AF4" s="23"/>
      <c r="AG4" s="92" t="s">
        <v>156</v>
      </c>
      <c r="AH4" s="76" t="s">
        <v>157</v>
      </c>
      <c r="AI4" s="84" t="s">
        <v>88</v>
      </c>
    </row>
    <row r="5" spans="3:35" ht="17.399999999999999" thickTop="1" x14ac:dyDescent="0.4">
      <c r="C5" s="55" t="str">
        <f>IF('Site and production details'!C5= 0, "", 'Site and production details'!C5)</f>
        <v/>
      </c>
      <c r="D5" s="151"/>
      <c r="E5" s="159" t="s">
        <v>89</v>
      </c>
      <c r="F5" s="186" t="s">
        <v>90</v>
      </c>
      <c r="G5" s="124" t="s">
        <v>156</v>
      </c>
      <c r="H5" s="186" t="s">
        <v>158</v>
      </c>
      <c r="I5" s="186"/>
      <c r="J5" s="186"/>
      <c r="K5" s="168"/>
      <c r="AA5" s="14" t="s">
        <v>93</v>
      </c>
      <c r="AB5" s="73">
        <v>100</v>
      </c>
      <c r="AC5" s="73">
        <v>1000000</v>
      </c>
      <c r="AD5" s="73" t="s">
        <v>94</v>
      </c>
      <c r="AE5" s="14" t="s">
        <v>95</v>
      </c>
      <c r="AG5" s="94" t="s">
        <v>96</v>
      </c>
      <c r="AH5" s="68" t="s">
        <v>96</v>
      </c>
      <c r="AI5" s="85" t="s">
        <v>98</v>
      </c>
    </row>
    <row r="6" spans="3:35" x14ac:dyDescent="0.4">
      <c r="C6" s="55" t="str">
        <f>C5</f>
        <v/>
      </c>
      <c r="D6" s="151"/>
      <c r="E6" s="112" t="str">
        <f>IF(E5 = "Select", "", E5)</f>
        <v/>
      </c>
      <c r="F6" s="30" t="s">
        <v>90</v>
      </c>
      <c r="G6" s="122" t="s">
        <v>156</v>
      </c>
      <c r="H6" s="30" t="s">
        <v>159</v>
      </c>
      <c r="I6" s="30"/>
      <c r="J6" s="30"/>
      <c r="K6" s="169"/>
      <c r="AA6" s="14" t="s">
        <v>93</v>
      </c>
      <c r="AB6" s="14">
        <v>0</v>
      </c>
      <c r="AC6" s="14">
        <v>100</v>
      </c>
      <c r="AD6" s="14" t="s">
        <v>101</v>
      </c>
      <c r="AG6" s="96" t="s">
        <v>96</v>
      </c>
      <c r="AH6" s="56" t="s">
        <v>97</v>
      </c>
      <c r="AI6" s="86" t="s">
        <v>98</v>
      </c>
    </row>
    <row r="7" spans="3:35" x14ac:dyDescent="0.4">
      <c r="C7" s="55" t="str">
        <f t="shared" ref="C7:C14" si="0">C6</f>
        <v/>
      </c>
      <c r="D7" s="151"/>
      <c r="E7" s="112" t="str">
        <f>E6</f>
        <v/>
      </c>
      <c r="F7" s="30" t="s">
        <v>90</v>
      </c>
      <c r="G7" s="121" t="s">
        <v>160</v>
      </c>
      <c r="H7" s="30" t="s">
        <v>161</v>
      </c>
      <c r="I7" s="30"/>
      <c r="J7" s="30"/>
      <c r="K7" s="169"/>
      <c r="AA7" s="14" t="s">
        <v>93</v>
      </c>
      <c r="AB7" s="14">
        <v>-100</v>
      </c>
      <c r="AC7" s="14">
        <v>0</v>
      </c>
      <c r="AD7" s="14" t="s">
        <v>104</v>
      </c>
      <c r="AG7" s="94" t="s">
        <v>96</v>
      </c>
      <c r="AH7" s="68" t="s">
        <v>104</v>
      </c>
      <c r="AI7" s="85" t="s">
        <v>98</v>
      </c>
    </row>
    <row r="8" spans="3:35" x14ac:dyDescent="0.4">
      <c r="C8" s="55" t="str">
        <f t="shared" si="0"/>
        <v/>
      </c>
      <c r="D8" s="151"/>
      <c r="E8" s="112" t="str">
        <f t="shared" ref="E8:E9" si="1">E7</f>
        <v/>
      </c>
      <c r="F8" s="30" t="s">
        <v>90</v>
      </c>
      <c r="G8" s="122" t="s">
        <v>157</v>
      </c>
      <c r="H8" s="30" t="s">
        <v>162</v>
      </c>
      <c r="I8" s="30"/>
      <c r="J8" s="30"/>
      <c r="K8" s="169"/>
      <c r="AA8" s="14" t="s">
        <v>93</v>
      </c>
      <c r="AB8" s="14">
        <v>-150</v>
      </c>
      <c r="AC8" s="14">
        <v>-100</v>
      </c>
      <c r="AD8" s="14" t="s">
        <v>96</v>
      </c>
      <c r="AG8" s="96" t="s">
        <v>96</v>
      </c>
      <c r="AH8" s="56" t="s">
        <v>101</v>
      </c>
      <c r="AI8" s="86" t="s">
        <v>98</v>
      </c>
    </row>
    <row r="9" spans="3:35" x14ac:dyDescent="0.4">
      <c r="C9" s="55" t="str">
        <f t="shared" si="0"/>
        <v/>
      </c>
      <c r="D9" s="151"/>
      <c r="E9" s="112" t="str">
        <f t="shared" si="1"/>
        <v/>
      </c>
      <c r="F9" s="30" t="s">
        <v>90</v>
      </c>
      <c r="G9" s="195" t="s">
        <v>157</v>
      </c>
      <c r="H9" s="30" t="s">
        <v>163</v>
      </c>
      <c r="I9" s="30"/>
      <c r="J9" s="30"/>
      <c r="K9" s="169"/>
      <c r="AA9" s="14" t="s">
        <v>93</v>
      </c>
      <c r="AB9" s="14">
        <v>-10000000</v>
      </c>
      <c r="AC9" s="14">
        <v>-150</v>
      </c>
      <c r="AD9" s="14" t="s">
        <v>97</v>
      </c>
      <c r="AE9" s="14" t="s">
        <v>107</v>
      </c>
      <c r="AG9" s="94" t="s">
        <v>96</v>
      </c>
      <c r="AH9" s="68" t="s">
        <v>94</v>
      </c>
      <c r="AI9" s="85" t="s">
        <v>98</v>
      </c>
    </row>
    <row r="10" spans="3:35" x14ac:dyDescent="0.4">
      <c r="C10" s="55" t="str">
        <f t="shared" si="0"/>
        <v/>
      </c>
      <c r="D10" s="151"/>
      <c r="E10" s="111" t="s">
        <v>93</v>
      </c>
      <c r="F10" s="203" t="s">
        <v>90</v>
      </c>
      <c r="G10" s="198" t="s">
        <v>156</v>
      </c>
      <c r="H10" s="203" t="str">
        <f>H5</f>
        <v>20m inside boundary</v>
      </c>
      <c r="I10" s="203"/>
      <c r="J10" s="203"/>
      <c r="K10" s="168"/>
      <c r="AA10" s="14" t="s">
        <v>109</v>
      </c>
      <c r="AB10" s="20">
        <v>0</v>
      </c>
      <c r="AC10" s="20">
        <v>75.000010000000003</v>
      </c>
      <c r="AD10" s="14" t="s">
        <v>94</v>
      </c>
      <c r="AG10" s="96" t="s">
        <v>97</v>
      </c>
      <c r="AH10" s="56" t="s">
        <v>96</v>
      </c>
      <c r="AI10" s="86" t="s">
        <v>98</v>
      </c>
    </row>
    <row r="11" spans="3:35" x14ac:dyDescent="0.4">
      <c r="C11" s="55" t="str">
        <f t="shared" si="0"/>
        <v/>
      </c>
      <c r="D11" s="151"/>
      <c r="E11" s="112" t="s">
        <v>93</v>
      </c>
      <c r="F11" s="204" t="s">
        <v>90</v>
      </c>
      <c r="G11" s="197" t="s">
        <v>156</v>
      </c>
      <c r="H11" s="204" t="str">
        <f t="shared" ref="H11:H14" si="2">H6</f>
        <v>10m inside boundary</v>
      </c>
      <c r="I11" s="204"/>
      <c r="J11" s="204"/>
      <c r="K11" s="169"/>
      <c r="AA11" s="14" t="s">
        <v>109</v>
      </c>
      <c r="AB11" s="20">
        <v>75.000010000000003</v>
      </c>
      <c r="AC11" s="20">
        <v>250.00001</v>
      </c>
      <c r="AD11" s="14" t="s">
        <v>101</v>
      </c>
      <c r="AG11" s="94" t="s">
        <v>97</v>
      </c>
      <c r="AH11" s="68" t="s">
        <v>97</v>
      </c>
      <c r="AI11" s="85" t="s">
        <v>98</v>
      </c>
    </row>
    <row r="12" spans="3:35" x14ac:dyDescent="0.4">
      <c r="C12" s="55" t="str">
        <f t="shared" si="0"/>
        <v/>
      </c>
      <c r="D12" s="151"/>
      <c r="E12" s="112" t="s">
        <v>93</v>
      </c>
      <c r="F12" s="204" t="s">
        <v>90</v>
      </c>
      <c r="G12" s="196" t="s">
        <v>160</v>
      </c>
      <c r="H12" s="204" t="str">
        <f t="shared" si="2"/>
        <v>0m on boundary</v>
      </c>
      <c r="I12" s="204"/>
      <c r="J12" s="204"/>
      <c r="K12" s="169"/>
      <c r="AA12" s="14" t="s">
        <v>109</v>
      </c>
      <c r="AB12" s="20">
        <v>250.00001</v>
      </c>
      <c r="AC12" s="20">
        <v>500.00000999999997</v>
      </c>
      <c r="AD12" s="14" t="s">
        <v>104</v>
      </c>
      <c r="AG12" s="96" t="s">
        <v>97</v>
      </c>
      <c r="AH12" s="56" t="s">
        <v>104</v>
      </c>
      <c r="AI12" s="86" t="s">
        <v>98</v>
      </c>
    </row>
    <row r="13" spans="3:35" x14ac:dyDescent="0.4">
      <c r="C13" s="55" t="str">
        <f t="shared" si="0"/>
        <v/>
      </c>
      <c r="D13" s="151"/>
      <c r="E13" s="112" t="s">
        <v>93</v>
      </c>
      <c r="F13" s="204" t="s">
        <v>90</v>
      </c>
      <c r="G13" s="197" t="s">
        <v>157</v>
      </c>
      <c r="H13" s="204" t="str">
        <f t="shared" si="2"/>
        <v>10m outside boundary</v>
      </c>
      <c r="I13" s="204"/>
      <c r="J13" s="204"/>
      <c r="K13" s="169"/>
      <c r="AA13" s="14" t="s">
        <v>109</v>
      </c>
      <c r="AB13" s="20">
        <v>500.00000999999997</v>
      </c>
      <c r="AC13" s="20">
        <v>1100.00001</v>
      </c>
      <c r="AD13" s="14" t="s">
        <v>96</v>
      </c>
      <c r="AG13" s="94" t="s">
        <v>97</v>
      </c>
      <c r="AH13" s="68" t="s">
        <v>101</v>
      </c>
      <c r="AI13" s="85" t="s">
        <v>98</v>
      </c>
    </row>
    <row r="14" spans="3:35" x14ac:dyDescent="0.4">
      <c r="C14" s="55" t="str">
        <f t="shared" si="0"/>
        <v/>
      </c>
      <c r="D14" s="151"/>
      <c r="E14" s="113" t="s">
        <v>93</v>
      </c>
      <c r="F14" s="205" t="s">
        <v>90</v>
      </c>
      <c r="G14" s="199" t="s">
        <v>157</v>
      </c>
      <c r="H14" s="205" t="str">
        <f t="shared" si="2"/>
        <v>20m outside boundary</v>
      </c>
      <c r="I14" s="205"/>
      <c r="J14" s="205"/>
      <c r="K14" s="170"/>
      <c r="AA14" s="14" t="s">
        <v>109</v>
      </c>
      <c r="AB14" s="20">
        <v>1100.00001</v>
      </c>
      <c r="AC14" s="20">
        <v>1000000</v>
      </c>
      <c r="AD14" s="14" t="s">
        <v>97</v>
      </c>
      <c r="AE14" s="14" t="s">
        <v>95</v>
      </c>
      <c r="AG14" s="96" t="s">
        <v>97</v>
      </c>
      <c r="AH14" s="56" t="s">
        <v>94</v>
      </c>
      <c r="AI14" s="86" t="s">
        <v>98</v>
      </c>
    </row>
    <row r="15" spans="3:35" x14ac:dyDescent="0.4">
      <c r="AA15" s="14" t="s">
        <v>110</v>
      </c>
      <c r="AB15" s="20">
        <v>0</v>
      </c>
      <c r="AC15" s="104">
        <v>750.00000999999997</v>
      </c>
      <c r="AD15" s="73" t="s">
        <v>94</v>
      </c>
      <c r="AE15" s="14" t="s">
        <v>107</v>
      </c>
      <c r="AG15" s="94" t="s">
        <v>104</v>
      </c>
      <c r="AH15" s="68" t="s">
        <v>96</v>
      </c>
      <c r="AI15" s="85" t="s">
        <v>98</v>
      </c>
    </row>
    <row r="16" spans="3:35" x14ac:dyDescent="0.4">
      <c r="D16" s="17" t="s">
        <v>1907</v>
      </c>
      <c r="AA16" s="14" t="s">
        <v>110</v>
      </c>
      <c r="AB16" s="20">
        <v>750.00000999999997</v>
      </c>
      <c r="AC16" s="20">
        <v>1500.00001</v>
      </c>
      <c r="AD16" s="14" t="s">
        <v>101</v>
      </c>
      <c r="AG16" s="96" t="s">
        <v>104</v>
      </c>
      <c r="AH16" s="56" t="s">
        <v>97</v>
      </c>
      <c r="AI16" s="86" t="s">
        <v>98</v>
      </c>
    </row>
    <row r="17" spans="3:35" hidden="1" x14ac:dyDescent="0.4">
      <c r="C17" s="14">
        <v>6.11</v>
      </c>
      <c r="D17" s="14">
        <v>6.12</v>
      </c>
      <c r="E17" s="14">
        <v>6.13</v>
      </c>
      <c r="F17" s="14">
        <v>6.14</v>
      </c>
      <c r="G17" s="14">
        <v>6.15</v>
      </c>
      <c r="H17" s="14">
        <v>6.16</v>
      </c>
      <c r="I17" s="14">
        <v>6.17</v>
      </c>
      <c r="J17" s="14">
        <v>6.18</v>
      </c>
      <c r="K17" s="14">
        <v>6.19</v>
      </c>
      <c r="AA17" s="14" t="s">
        <v>110</v>
      </c>
      <c r="AB17" s="20">
        <v>1500.00001</v>
      </c>
      <c r="AC17" s="20">
        <v>3000.0000100000002</v>
      </c>
      <c r="AD17" s="14" t="s">
        <v>104</v>
      </c>
      <c r="AG17" s="94" t="s">
        <v>104</v>
      </c>
      <c r="AH17" s="68" t="s">
        <v>104</v>
      </c>
      <c r="AI17" s="85" t="s">
        <v>129</v>
      </c>
    </row>
    <row r="18" spans="3:35" ht="33.6" x14ac:dyDescent="0.4">
      <c r="C18" s="58" t="s">
        <v>40</v>
      </c>
      <c r="D18" s="57" t="s">
        <v>73</v>
      </c>
      <c r="E18" s="106" t="s">
        <v>111</v>
      </c>
      <c r="F18" s="98" t="s">
        <v>75</v>
      </c>
      <c r="G18" s="106" t="s">
        <v>76</v>
      </c>
      <c r="H18" s="98" t="s">
        <v>155</v>
      </c>
      <c r="I18" s="98" t="s">
        <v>78</v>
      </c>
      <c r="J18" s="98" t="s">
        <v>79</v>
      </c>
      <c r="K18" s="59" t="s">
        <v>52</v>
      </c>
      <c r="AA18" s="14" t="s">
        <v>110</v>
      </c>
      <c r="AB18" s="20">
        <v>3000.0000100000002</v>
      </c>
      <c r="AC18" s="20">
        <v>6000.0000099999997</v>
      </c>
      <c r="AD18" s="14" t="s">
        <v>96</v>
      </c>
      <c r="AG18" s="96" t="s">
        <v>104</v>
      </c>
      <c r="AH18" s="56" t="s">
        <v>101</v>
      </c>
      <c r="AI18" s="86" t="s">
        <v>129</v>
      </c>
    </row>
    <row r="19" spans="3:35" x14ac:dyDescent="0.4">
      <c r="C19" s="55" t="str">
        <f>C5</f>
        <v/>
      </c>
      <c r="D19" s="151"/>
      <c r="E19" s="111" t="str">
        <f>IF(E5 = "Select", "", E5)</f>
        <v/>
      </c>
      <c r="F19" s="186" t="s">
        <v>112</v>
      </c>
      <c r="G19" s="124" t="s">
        <v>156</v>
      </c>
      <c r="H19" s="186" t="s">
        <v>158</v>
      </c>
      <c r="I19" s="186"/>
      <c r="J19" s="186"/>
      <c r="K19" s="168"/>
      <c r="AA19" s="14" t="s">
        <v>110</v>
      </c>
      <c r="AB19" s="20">
        <v>6000.0000099999997</v>
      </c>
      <c r="AC19" s="20">
        <v>1000000</v>
      </c>
      <c r="AD19" s="14" t="s">
        <v>97</v>
      </c>
      <c r="AE19" s="14" t="s">
        <v>95</v>
      </c>
      <c r="AG19" s="94" t="s">
        <v>104</v>
      </c>
      <c r="AH19" s="68" t="s">
        <v>94</v>
      </c>
      <c r="AI19" s="85" t="s">
        <v>129</v>
      </c>
    </row>
    <row r="20" spans="3:35" x14ac:dyDescent="0.4">
      <c r="C20" s="55" t="str">
        <f>C19</f>
        <v/>
      </c>
      <c r="D20" s="151"/>
      <c r="E20" s="112" t="str">
        <f>E19</f>
        <v/>
      </c>
      <c r="F20" s="30" t="s">
        <v>112</v>
      </c>
      <c r="G20" s="122" t="s">
        <v>156</v>
      </c>
      <c r="H20" s="30" t="s">
        <v>159</v>
      </c>
      <c r="I20" s="30"/>
      <c r="J20" s="30"/>
      <c r="K20" s="169"/>
      <c r="AG20" s="96" t="s">
        <v>101</v>
      </c>
      <c r="AH20" s="56" t="s">
        <v>96</v>
      </c>
      <c r="AI20" s="86" t="s">
        <v>98</v>
      </c>
    </row>
    <row r="21" spans="3:35" x14ac:dyDescent="0.4">
      <c r="C21" s="55" t="str">
        <f t="shared" ref="C21:C48" si="3">C20</f>
        <v/>
      </c>
      <c r="D21" s="151"/>
      <c r="E21" s="112" t="str">
        <f t="shared" ref="E21:E33" si="4">E20</f>
        <v/>
      </c>
      <c r="F21" s="30" t="s">
        <v>112</v>
      </c>
      <c r="G21" s="121" t="s">
        <v>160</v>
      </c>
      <c r="H21" s="30" t="s">
        <v>161</v>
      </c>
      <c r="I21" s="30"/>
      <c r="J21" s="30"/>
      <c r="K21" s="169"/>
      <c r="AA21" s="17" t="s">
        <v>114</v>
      </c>
      <c r="AG21" s="94" t="s">
        <v>101</v>
      </c>
      <c r="AH21" s="68" t="s">
        <v>97</v>
      </c>
      <c r="AI21" s="85" t="s">
        <v>98</v>
      </c>
    </row>
    <row r="22" spans="3:35" x14ac:dyDescent="0.4">
      <c r="C22" s="55" t="str">
        <f t="shared" si="3"/>
        <v/>
      </c>
      <c r="D22" s="151"/>
      <c r="E22" s="112" t="str">
        <f t="shared" si="4"/>
        <v/>
      </c>
      <c r="F22" s="30" t="s">
        <v>112</v>
      </c>
      <c r="G22" s="122" t="s">
        <v>157</v>
      </c>
      <c r="H22" s="30" t="s">
        <v>162</v>
      </c>
      <c r="I22" s="30"/>
      <c r="J22" s="30"/>
      <c r="K22" s="169"/>
      <c r="AG22" s="96" t="s">
        <v>101</v>
      </c>
      <c r="AH22" s="56" t="s">
        <v>104</v>
      </c>
      <c r="AI22" s="86" t="s">
        <v>129</v>
      </c>
    </row>
    <row r="23" spans="3:35" x14ac:dyDescent="0.4">
      <c r="C23" s="55" t="str">
        <f t="shared" si="3"/>
        <v/>
      </c>
      <c r="D23" s="151"/>
      <c r="E23" s="112" t="str">
        <f t="shared" si="4"/>
        <v/>
      </c>
      <c r="F23" s="187" t="s">
        <v>112</v>
      </c>
      <c r="G23" s="125" t="s">
        <v>157</v>
      </c>
      <c r="H23" s="187" t="s">
        <v>163</v>
      </c>
      <c r="I23" s="187"/>
      <c r="J23" s="187"/>
      <c r="K23" s="170"/>
      <c r="AA23" s="14" t="s">
        <v>83</v>
      </c>
      <c r="AB23" s="81" t="s">
        <v>115</v>
      </c>
      <c r="AC23" s="14" t="s">
        <v>116</v>
      </c>
      <c r="AD23" s="14" t="s">
        <v>117</v>
      </c>
      <c r="AE23" s="14" t="s">
        <v>52</v>
      </c>
      <c r="AG23" s="94" t="s">
        <v>101</v>
      </c>
      <c r="AH23" s="68" t="s">
        <v>101</v>
      </c>
      <c r="AI23" s="85" t="s">
        <v>129</v>
      </c>
    </row>
    <row r="24" spans="3:35" x14ac:dyDescent="0.4">
      <c r="C24" s="55" t="str">
        <f t="shared" si="3"/>
        <v/>
      </c>
      <c r="D24" s="151"/>
      <c r="E24" s="112" t="str">
        <f t="shared" si="4"/>
        <v/>
      </c>
      <c r="F24" s="186" t="s">
        <v>113</v>
      </c>
      <c r="G24" s="120" t="s">
        <v>156</v>
      </c>
      <c r="H24" s="186" t="s">
        <v>158</v>
      </c>
      <c r="I24" s="186"/>
      <c r="J24" s="186"/>
      <c r="K24" s="168"/>
      <c r="AA24" s="14" t="s">
        <v>97</v>
      </c>
      <c r="AB24" s="14">
        <v>4.0000099999999996</v>
      </c>
      <c r="AC24" s="14">
        <v>6</v>
      </c>
      <c r="AD24" s="39">
        <v>5</v>
      </c>
      <c r="AE24" s="14" t="s">
        <v>95</v>
      </c>
      <c r="AG24" s="96" t="s">
        <v>101</v>
      </c>
      <c r="AH24" s="56" t="s">
        <v>94</v>
      </c>
      <c r="AI24" s="86" t="s">
        <v>129</v>
      </c>
    </row>
    <row r="25" spans="3:35" x14ac:dyDescent="0.4">
      <c r="C25" s="55" t="str">
        <f t="shared" si="3"/>
        <v/>
      </c>
      <c r="D25" s="151"/>
      <c r="E25" s="112" t="str">
        <f t="shared" si="4"/>
        <v/>
      </c>
      <c r="F25" s="30" t="s">
        <v>113</v>
      </c>
      <c r="G25" s="121" t="s">
        <v>156</v>
      </c>
      <c r="H25" s="30" t="s">
        <v>159</v>
      </c>
      <c r="I25" s="30"/>
      <c r="J25" s="30"/>
      <c r="K25" s="169"/>
      <c r="AA25" s="14" t="s">
        <v>96</v>
      </c>
      <c r="AB25" s="14">
        <v>3.1</v>
      </c>
      <c r="AC25" s="14">
        <v>4.0000099999999996</v>
      </c>
      <c r="AD25" s="39">
        <v>4</v>
      </c>
      <c r="AG25" s="94" t="s">
        <v>94</v>
      </c>
      <c r="AH25" s="68" t="s">
        <v>96</v>
      </c>
      <c r="AI25" s="85" t="s">
        <v>98</v>
      </c>
    </row>
    <row r="26" spans="3:35" x14ac:dyDescent="0.4">
      <c r="C26" s="55" t="str">
        <f t="shared" si="3"/>
        <v/>
      </c>
      <c r="D26" s="151"/>
      <c r="E26" s="112" t="str">
        <f t="shared" si="4"/>
        <v/>
      </c>
      <c r="F26" s="30" t="s">
        <v>113</v>
      </c>
      <c r="G26" s="122" t="s">
        <v>160</v>
      </c>
      <c r="H26" s="30" t="s">
        <v>161</v>
      </c>
      <c r="I26" s="30"/>
      <c r="J26" s="30"/>
      <c r="K26" s="169"/>
      <c r="AA26" s="14" t="s">
        <v>104</v>
      </c>
      <c r="AB26" s="14">
        <v>2.1</v>
      </c>
      <c r="AC26" s="14">
        <v>3.09999</v>
      </c>
      <c r="AD26" s="39">
        <v>3</v>
      </c>
      <c r="AG26" s="96" t="s">
        <v>94</v>
      </c>
      <c r="AH26" s="56" t="s">
        <v>97</v>
      </c>
      <c r="AI26" s="86" t="s">
        <v>98</v>
      </c>
    </row>
    <row r="27" spans="3:35" x14ac:dyDescent="0.4">
      <c r="C27" s="55" t="str">
        <f t="shared" si="3"/>
        <v/>
      </c>
      <c r="D27" s="151"/>
      <c r="E27" s="112" t="str">
        <f t="shared" si="4"/>
        <v/>
      </c>
      <c r="F27" s="30" t="s">
        <v>113</v>
      </c>
      <c r="G27" s="121" t="s">
        <v>157</v>
      </c>
      <c r="H27" s="30" t="s">
        <v>162</v>
      </c>
      <c r="I27" s="30"/>
      <c r="J27" s="30"/>
      <c r="K27" s="169"/>
      <c r="AA27" s="14" t="s">
        <v>101</v>
      </c>
      <c r="AB27" s="14">
        <v>1.1000000000000001</v>
      </c>
      <c r="AC27" s="14">
        <v>2.09999</v>
      </c>
      <c r="AD27" s="39">
        <v>2</v>
      </c>
      <c r="AG27" s="94" t="s">
        <v>94</v>
      </c>
      <c r="AH27" s="68" t="s">
        <v>104</v>
      </c>
      <c r="AI27" s="85" t="s">
        <v>129</v>
      </c>
    </row>
    <row r="28" spans="3:35" x14ac:dyDescent="0.4">
      <c r="C28" s="55" t="str">
        <f t="shared" si="3"/>
        <v/>
      </c>
      <c r="D28" s="151"/>
      <c r="E28" s="112" t="str">
        <f t="shared" si="4"/>
        <v/>
      </c>
      <c r="F28" s="187" t="s">
        <v>113</v>
      </c>
      <c r="G28" s="123" t="s">
        <v>157</v>
      </c>
      <c r="H28" s="187" t="s">
        <v>163</v>
      </c>
      <c r="I28" s="187"/>
      <c r="J28" s="187"/>
      <c r="K28" s="170"/>
      <c r="AA28" s="14" t="s">
        <v>94</v>
      </c>
      <c r="AB28" s="14">
        <v>0</v>
      </c>
      <c r="AC28" s="14">
        <v>1.09999</v>
      </c>
      <c r="AD28" s="39">
        <v>1</v>
      </c>
      <c r="AE28" s="14" t="s">
        <v>119</v>
      </c>
      <c r="AG28" s="96" t="s">
        <v>94</v>
      </c>
      <c r="AH28" s="56" t="s">
        <v>101</v>
      </c>
      <c r="AI28" s="86" t="s">
        <v>129</v>
      </c>
    </row>
    <row r="29" spans="3:35" x14ac:dyDescent="0.4">
      <c r="C29" s="55" t="str">
        <f t="shared" si="3"/>
        <v/>
      </c>
      <c r="D29" s="151"/>
      <c r="E29" s="112" t="str">
        <f t="shared" si="4"/>
        <v/>
      </c>
      <c r="F29" s="186" t="s">
        <v>118</v>
      </c>
      <c r="G29" s="124" t="s">
        <v>156</v>
      </c>
      <c r="H29" s="186" t="s">
        <v>158</v>
      </c>
      <c r="I29" s="186"/>
      <c r="J29" s="186"/>
      <c r="K29" s="168"/>
      <c r="AG29" s="97" t="s">
        <v>94</v>
      </c>
      <c r="AH29" s="87" t="s">
        <v>94</v>
      </c>
      <c r="AI29" s="88" t="s">
        <v>129</v>
      </c>
    </row>
    <row r="30" spans="3:35" x14ac:dyDescent="0.4">
      <c r="C30" s="55" t="str">
        <f t="shared" si="3"/>
        <v/>
      </c>
      <c r="D30" s="151"/>
      <c r="E30" s="112" t="str">
        <f t="shared" si="4"/>
        <v/>
      </c>
      <c r="F30" s="30" t="s">
        <v>118</v>
      </c>
      <c r="G30" s="122" t="s">
        <v>156</v>
      </c>
      <c r="H30" s="30" t="s">
        <v>159</v>
      </c>
      <c r="I30" s="30"/>
      <c r="J30" s="30"/>
      <c r="K30" s="169"/>
    </row>
    <row r="31" spans="3:35" x14ac:dyDescent="0.4">
      <c r="C31" s="55" t="str">
        <f t="shared" si="3"/>
        <v/>
      </c>
      <c r="D31" s="151"/>
      <c r="E31" s="112" t="str">
        <f t="shared" si="4"/>
        <v/>
      </c>
      <c r="F31" s="30" t="s">
        <v>118</v>
      </c>
      <c r="G31" s="121" t="s">
        <v>160</v>
      </c>
      <c r="H31" s="30" t="s">
        <v>161</v>
      </c>
      <c r="I31" s="30"/>
      <c r="J31" s="30"/>
      <c r="K31" s="169"/>
    </row>
    <row r="32" spans="3:35" x14ac:dyDescent="0.4">
      <c r="C32" s="55" t="str">
        <f t="shared" si="3"/>
        <v/>
      </c>
      <c r="D32" s="151"/>
      <c r="E32" s="112" t="str">
        <f t="shared" si="4"/>
        <v/>
      </c>
      <c r="F32" s="30" t="s">
        <v>118</v>
      </c>
      <c r="G32" s="122" t="s">
        <v>157</v>
      </c>
      <c r="H32" s="30" t="s">
        <v>162</v>
      </c>
      <c r="I32" s="30"/>
      <c r="J32" s="30"/>
      <c r="K32" s="169"/>
    </row>
    <row r="33" spans="3:11" x14ac:dyDescent="0.4">
      <c r="C33" s="55" t="str">
        <f t="shared" si="3"/>
        <v/>
      </c>
      <c r="D33" s="151"/>
      <c r="E33" s="113" t="str">
        <f t="shared" si="4"/>
        <v/>
      </c>
      <c r="F33" s="30" t="s">
        <v>118</v>
      </c>
      <c r="G33" s="195" t="s">
        <v>157</v>
      </c>
      <c r="H33" s="30" t="s">
        <v>163</v>
      </c>
      <c r="I33" s="30"/>
      <c r="J33" s="30"/>
      <c r="K33" s="169"/>
    </row>
    <row r="34" spans="3:11" x14ac:dyDescent="0.4">
      <c r="C34" s="55" t="str">
        <f t="shared" si="3"/>
        <v/>
      </c>
      <c r="D34" s="151"/>
      <c r="E34" s="111" t="s">
        <v>93</v>
      </c>
      <c r="F34" s="203" t="s">
        <v>112</v>
      </c>
      <c r="G34" s="190" t="s">
        <v>156</v>
      </c>
      <c r="H34" s="203" t="str">
        <f>H19</f>
        <v>20m inside boundary</v>
      </c>
      <c r="I34" s="203"/>
      <c r="J34" s="203"/>
      <c r="K34" s="168"/>
    </row>
    <row r="35" spans="3:11" x14ac:dyDescent="0.4">
      <c r="C35" s="55" t="str">
        <f t="shared" si="3"/>
        <v/>
      </c>
      <c r="D35" s="151"/>
      <c r="E35" s="112" t="s">
        <v>93</v>
      </c>
      <c r="F35" s="204" t="s">
        <v>112</v>
      </c>
      <c r="G35" s="191" t="s">
        <v>156</v>
      </c>
      <c r="H35" s="204" t="str">
        <f t="shared" ref="H35:H48" si="5">H20</f>
        <v>10m inside boundary</v>
      </c>
      <c r="I35" s="204"/>
      <c r="J35" s="204"/>
      <c r="K35" s="169"/>
    </row>
    <row r="36" spans="3:11" x14ac:dyDescent="0.4">
      <c r="C36" s="55" t="str">
        <f t="shared" si="3"/>
        <v/>
      </c>
      <c r="D36" s="151"/>
      <c r="E36" s="112" t="s">
        <v>93</v>
      </c>
      <c r="F36" s="204" t="s">
        <v>112</v>
      </c>
      <c r="G36" s="192" t="s">
        <v>160</v>
      </c>
      <c r="H36" s="204" t="str">
        <f t="shared" si="5"/>
        <v>0m on boundary</v>
      </c>
      <c r="I36" s="204"/>
      <c r="J36" s="204"/>
      <c r="K36" s="169"/>
    </row>
    <row r="37" spans="3:11" x14ac:dyDescent="0.4">
      <c r="C37" s="55" t="str">
        <f t="shared" si="3"/>
        <v/>
      </c>
      <c r="D37" s="151"/>
      <c r="E37" s="112" t="s">
        <v>93</v>
      </c>
      <c r="F37" s="204" t="s">
        <v>112</v>
      </c>
      <c r="G37" s="191" t="s">
        <v>157</v>
      </c>
      <c r="H37" s="204" t="str">
        <f t="shared" si="5"/>
        <v>10m outside boundary</v>
      </c>
      <c r="I37" s="204"/>
      <c r="J37" s="204"/>
      <c r="K37" s="169"/>
    </row>
    <row r="38" spans="3:11" x14ac:dyDescent="0.4">
      <c r="C38" s="55" t="str">
        <f t="shared" si="3"/>
        <v/>
      </c>
      <c r="D38" s="151"/>
      <c r="E38" s="112" t="s">
        <v>93</v>
      </c>
      <c r="F38" s="205" t="s">
        <v>112</v>
      </c>
      <c r="G38" s="141" t="s">
        <v>157</v>
      </c>
      <c r="H38" s="205" t="str">
        <f t="shared" si="5"/>
        <v>20m outside boundary</v>
      </c>
      <c r="I38" s="205"/>
      <c r="J38" s="205"/>
      <c r="K38" s="170"/>
    </row>
    <row r="39" spans="3:11" x14ac:dyDescent="0.4">
      <c r="C39" s="55" t="str">
        <f t="shared" si="3"/>
        <v/>
      </c>
      <c r="D39" s="151"/>
      <c r="E39" s="112" t="s">
        <v>93</v>
      </c>
      <c r="F39" s="203" t="s">
        <v>113</v>
      </c>
      <c r="G39" s="193" t="s">
        <v>156</v>
      </c>
      <c r="H39" s="203" t="str">
        <f t="shared" si="5"/>
        <v>20m inside boundary</v>
      </c>
      <c r="I39" s="203"/>
      <c r="J39" s="203"/>
      <c r="K39" s="168"/>
    </row>
    <row r="40" spans="3:11" x14ac:dyDescent="0.4">
      <c r="C40" s="55" t="str">
        <f t="shared" si="3"/>
        <v/>
      </c>
      <c r="D40" s="151"/>
      <c r="E40" s="112" t="s">
        <v>93</v>
      </c>
      <c r="F40" s="204" t="s">
        <v>113</v>
      </c>
      <c r="G40" s="192" t="s">
        <v>156</v>
      </c>
      <c r="H40" s="204" t="str">
        <f t="shared" si="5"/>
        <v>10m inside boundary</v>
      </c>
      <c r="I40" s="204"/>
      <c r="J40" s="204"/>
      <c r="K40" s="169"/>
    </row>
    <row r="41" spans="3:11" x14ac:dyDescent="0.4">
      <c r="C41" s="55" t="str">
        <f t="shared" si="3"/>
        <v/>
      </c>
      <c r="D41" s="151"/>
      <c r="E41" s="112" t="s">
        <v>93</v>
      </c>
      <c r="F41" s="204" t="s">
        <v>113</v>
      </c>
      <c r="G41" s="191" t="s">
        <v>160</v>
      </c>
      <c r="H41" s="204" t="str">
        <f t="shared" si="5"/>
        <v>0m on boundary</v>
      </c>
      <c r="I41" s="204"/>
      <c r="J41" s="204"/>
      <c r="K41" s="169"/>
    </row>
    <row r="42" spans="3:11" x14ac:dyDescent="0.4">
      <c r="C42" s="55" t="str">
        <f t="shared" si="3"/>
        <v/>
      </c>
      <c r="D42" s="151"/>
      <c r="E42" s="112" t="s">
        <v>93</v>
      </c>
      <c r="F42" s="204" t="s">
        <v>113</v>
      </c>
      <c r="G42" s="192" t="s">
        <v>157</v>
      </c>
      <c r="H42" s="204" t="str">
        <f t="shared" si="5"/>
        <v>10m outside boundary</v>
      </c>
      <c r="I42" s="204"/>
      <c r="J42" s="204"/>
      <c r="K42" s="169"/>
    </row>
    <row r="43" spans="3:11" x14ac:dyDescent="0.4">
      <c r="C43" s="55" t="str">
        <f t="shared" si="3"/>
        <v/>
      </c>
      <c r="D43" s="151"/>
      <c r="E43" s="112" t="s">
        <v>93</v>
      </c>
      <c r="F43" s="205" t="s">
        <v>113</v>
      </c>
      <c r="G43" s="194" t="s">
        <v>157</v>
      </c>
      <c r="H43" s="205" t="str">
        <f t="shared" si="5"/>
        <v>20m outside boundary</v>
      </c>
      <c r="I43" s="205"/>
      <c r="J43" s="205"/>
      <c r="K43" s="170"/>
    </row>
    <row r="44" spans="3:11" x14ac:dyDescent="0.4">
      <c r="C44" s="55" t="str">
        <f t="shared" si="3"/>
        <v/>
      </c>
      <c r="D44" s="151"/>
      <c r="E44" s="112" t="s">
        <v>93</v>
      </c>
      <c r="F44" s="203" t="s">
        <v>118</v>
      </c>
      <c r="G44" s="190" t="s">
        <v>156</v>
      </c>
      <c r="H44" s="203" t="str">
        <f t="shared" si="5"/>
        <v>20m inside boundary</v>
      </c>
      <c r="I44" s="203"/>
      <c r="J44" s="203"/>
      <c r="K44" s="168"/>
    </row>
    <row r="45" spans="3:11" x14ac:dyDescent="0.4">
      <c r="C45" s="55" t="str">
        <f t="shared" si="3"/>
        <v/>
      </c>
      <c r="D45" s="151"/>
      <c r="E45" s="112" t="s">
        <v>93</v>
      </c>
      <c r="F45" s="204" t="s">
        <v>118</v>
      </c>
      <c r="G45" s="191" t="s">
        <v>156</v>
      </c>
      <c r="H45" s="204" t="str">
        <f t="shared" si="5"/>
        <v>10m inside boundary</v>
      </c>
      <c r="I45" s="204"/>
      <c r="J45" s="204"/>
      <c r="K45" s="169"/>
    </row>
    <row r="46" spans="3:11" x14ac:dyDescent="0.4">
      <c r="C46" s="55" t="str">
        <f t="shared" si="3"/>
        <v/>
      </c>
      <c r="D46" s="151"/>
      <c r="E46" s="112" t="s">
        <v>93</v>
      </c>
      <c r="F46" s="204" t="s">
        <v>118</v>
      </c>
      <c r="G46" s="192" t="s">
        <v>160</v>
      </c>
      <c r="H46" s="204" t="str">
        <f t="shared" si="5"/>
        <v>0m on boundary</v>
      </c>
      <c r="I46" s="204"/>
      <c r="J46" s="204"/>
      <c r="K46" s="169"/>
    </row>
    <row r="47" spans="3:11" x14ac:dyDescent="0.4">
      <c r="C47" s="55" t="str">
        <f t="shared" si="3"/>
        <v/>
      </c>
      <c r="D47" s="151"/>
      <c r="E47" s="112" t="s">
        <v>93</v>
      </c>
      <c r="F47" s="204" t="s">
        <v>118</v>
      </c>
      <c r="G47" s="191" t="s">
        <v>157</v>
      </c>
      <c r="H47" s="204" t="str">
        <f t="shared" si="5"/>
        <v>10m outside boundary</v>
      </c>
      <c r="I47" s="204"/>
      <c r="J47" s="204"/>
      <c r="K47" s="169"/>
    </row>
    <row r="48" spans="3:11" x14ac:dyDescent="0.4">
      <c r="C48" s="55" t="str">
        <f t="shared" si="3"/>
        <v/>
      </c>
      <c r="D48" s="151"/>
      <c r="E48" s="113" t="s">
        <v>93</v>
      </c>
      <c r="F48" s="205" t="s">
        <v>118</v>
      </c>
      <c r="G48" s="141" t="s">
        <v>157</v>
      </c>
      <c r="H48" s="205" t="str">
        <f t="shared" si="5"/>
        <v>20m outside boundary</v>
      </c>
      <c r="I48" s="205"/>
      <c r="J48" s="205"/>
      <c r="K48" s="170"/>
    </row>
    <row r="50" spans="3:8" x14ac:dyDescent="0.4">
      <c r="D50" s="17" t="s">
        <v>1908</v>
      </c>
      <c r="G50" s="38"/>
      <c r="H50" s="38"/>
    </row>
    <row r="51" spans="3:8" hidden="1" x14ac:dyDescent="0.4">
      <c r="C51" s="14">
        <v>6.21</v>
      </c>
      <c r="D51" s="14">
        <v>6.22</v>
      </c>
      <c r="E51" s="14">
        <v>6.23</v>
      </c>
      <c r="F51" s="14">
        <v>6.24</v>
      </c>
      <c r="G51" s="14">
        <v>6.25</v>
      </c>
      <c r="H51" s="14">
        <v>6.26</v>
      </c>
    </row>
    <row r="52" spans="3:8" x14ac:dyDescent="0.4">
      <c r="C52" s="58" t="s">
        <v>40</v>
      </c>
      <c r="D52" s="58" t="s">
        <v>111</v>
      </c>
      <c r="E52" s="58" t="s">
        <v>76</v>
      </c>
      <c r="F52" s="58" t="s">
        <v>120</v>
      </c>
      <c r="G52" s="58" t="s">
        <v>121</v>
      </c>
      <c r="H52" s="58" t="s">
        <v>122</v>
      </c>
    </row>
    <row r="53" spans="3:8" x14ac:dyDescent="0.4">
      <c r="C53" s="74" t="str">
        <f>C5</f>
        <v/>
      </c>
      <c r="D53" s="74" t="str">
        <f>E6</f>
        <v/>
      </c>
      <c r="E53" s="74" t="str">
        <f>G5</f>
        <v>Inside site boundary</v>
      </c>
      <c r="F53" s="75" t="str">
        <f>IFERROR(AVERAGE(I5:J6,I19:J20,I24:J25,I29:J30),"")</f>
        <v/>
      </c>
      <c r="G53" s="55" t="str" cm="1">
        <f t="array" ref="G53">IFERROR(INDEX(Table517276[EQS category ref], MATCH(1, (Table4771[[#This Row],[Abiotic indicator]]=Table517276[Abiotic index ref])*(Table4771[[#This Row],[Avg. indicator value]]&gt;=Table517276[Equal or larger than])*(Table4771[[#This Row],[Avg. indicator value]]&lt;Table517276[smaller than]),0)),"")</f>
        <v/>
      </c>
      <c r="H53" s="74" t="str" cm="1">
        <f t="array" ref="H53">IFERROR(_xlfn.IFS(Table4771[[#This Row],[EQS category]]="Bad",5, Table4771[[#This Row],[EQS category]]="Poor",4, Table4771[[#This Row],[EQS category]]="Moderate",3, Table4771[[#This Row],[EQS category]]="Good",2, Table4771[[#This Row],[EQS category]]="High",1),"")</f>
        <v/>
      </c>
    </row>
    <row r="54" spans="3:8" x14ac:dyDescent="0.4">
      <c r="C54" s="74" t="str">
        <f>C10</f>
        <v/>
      </c>
      <c r="D54" s="74" t="str">
        <f>E10</f>
        <v>Redox potential (EhNHE)</v>
      </c>
      <c r="E54" s="74" t="str">
        <f>G10</f>
        <v>Inside site boundary</v>
      </c>
      <c r="F54" s="75" t="str">
        <f>IFERROR(AVERAGE(I10:J11, I34:J35,I39:J40,I44:J45),"")</f>
        <v/>
      </c>
      <c r="G54" s="55" t="str" cm="1">
        <f t="array" ref="G54">IFERROR(INDEX(Table517276[EQS category ref], MATCH(1, (Table4771[[#This Row],[Abiotic indicator]]=Table517276[Abiotic index ref])*(Table4771[[#This Row],[Avg. indicator value]]&gt;=Table517276[Equal or larger than])*(Table4771[[#This Row],[Avg. indicator value]]&lt;Table517276[smaller than]),0)),"")</f>
        <v/>
      </c>
      <c r="H54" s="74" t="str" cm="1">
        <f t="array" ref="H54">IFERROR(_xlfn.IFS(Table4771[[#This Row],[EQS category]]="Bad",5, Table4771[[#This Row],[EQS category]]="Poor",4, Table4771[[#This Row],[EQS category]]="Moderate",3, Table4771[[#This Row],[EQS category]]="Good",2, Table4771[[#This Row],[EQS category]]="High",1),"")</f>
        <v/>
      </c>
    </row>
    <row r="55" spans="3:8" x14ac:dyDescent="0.4">
      <c r="C55" s="74" t="str">
        <f>C7</f>
        <v/>
      </c>
      <c r="D55" s="74" t="str">
        <f>E7</f>
        <v/>
      </c>
      <c r="E55" s="74" t="str">
        <f>G7</f>
        <v>On site boundary</v>
      </c>
      <c r="F55" s="75" t="str">
        <f>IFERROR(AVERAGE(I7:J7, I21:J21,I26:J26,I31:J31),"")</f>
        <v/>
      </c>
      <c r="G55" s="55" t="str" cm="1">
        <f t="array" ref="G55">IFERROR(INDEX(Table517276[EQS category ref], MATCH(1, (Table4771[[#This Row],[Abiotic indicator]]=Table517276[Abiotic index ref])*(Table4771[[#This Row],[Avg. indicator value]]&gt;=Table517276[Equal or larger than])*(Table4771[[#This Row],[Avg. indicator value]]&lt;Table517276[smaller than]),0)),"")</f>
        <v/>
      </c>
      <c r="H55" s="74" t="str" cm="1">
        <f t="array" ref="H55">IFERROR(_xlfn.IFS(Table4771[[#This Row],[EQS category]]="Bad",5, Table4771[[#This Row],[EQS category]]="Poor",4, Table4771[[#This Row],[EQS category]]="Moderate",3, Table4771[[#This Row],[EQS category]]="Good",2, Table4771[[#This Row],[EQS category]]="High",1),"")</f>
        <v/>
      </c>
    </row>
    <row r="56" spans="3:8" x14ac:dyDescent="0.4">
      <c r="C56" s="74" t="str">
        <f>C12</f>
        <v/>
      </c>
      <c r="D56" s="74" t="str">
        <f>E12</f>
        <v>Redox potential (EhNHE)</v>
      </c>
      <c r="E56" s="74" t="str">
        <f>G12</f>
        <v>On site boundary</v>
      </c>
      <c r="F56" s="75" t="str">
        <f>IFERROR(AVERAGE(I12:J12, I36:J36,I41:J41,I46:J46),"")</f>
        <v/>
      </c>
      <c r="G56" s="55" t="str" cm="1">
        <f t="array" ref="G56">IFERROR(INDEX(Table517276[EQS category ref], MATCH(1, (Table4771[[#This Row],[Abiotic indicator]]=Table517276[Abiotic index ref])*(Table4771[[#This Row],[Avg. indicator value]]&gt;=Table517276[Equal or larger than])*(Table4771[[#This Row],[Avg. indicator value]]&lt;Table517276[smaller than]),0)),"")</f>
        <v/>
      </c>
      <c r="H56" s="74" t="str" cm="1">
        <f t="array" ref="H56">IFERROR(_xlfn.IFS(Table4771[[#This Row],[EQS category]]="Bad",5, Table4771[[#This Row],[EQS category]]="Poor",4, Table4771[[#This Row],[EQS category]]="Moderate",3, Table4771[[#This Row],[EQS category]]="Good",2, Table4771[[#This Row],[EQS category]]="High",1),"")</f>
        <v/>
      </c>
    </row>
    <row r="57" spans="3:8" x14ac:dyDescent="0.4">
      <c r="C57" s="74" t="str">
        <f>C8</f>
        <v/>
      </c>
      <c r="D57" s="74" t="str">
        <f>E8</f>
        <v/>
      </c>
      <c r="E57" s="74" t="str">
        <f>G8</f>
        <v>Outside site boundary</v>
      </c>
      <c r="F57" s="75" t="str">
        <f>IFERROR(AVERAGE(I8:J9, I22:J23,I27:J28,I32:J33),"")</f>
        <v/>
      </c>
      <c r="G57" s="55" t="str" cm="1">
        <f t="array" ref="G57">IFERROR(INDEX(Table517276[EQS category ref], MATCH(1, (Table4771[[#This Row],[Abiotic indicator]]=Table517276[Abiotic index ref])*(Table4771[[#This Row],[Avg. indicator value]]&gt;=Table517276[Equal or larger than])*(Table4771[[#This Row],[Avg. indicator value]]&lt;Table517276[smaller than]),0)),"")</f>
        <v/>
      </c>
      <c r="H57" s="74" t="str" cm="1">
        <f t="array" ref="H57">IFERROR(_xlfn.IFS(Table4771[[#This Row],[EQS category]]="Bad",5, Table4771[[#This Row],[EQS category]]="Poor",4, Table4771[[#This Row],[EQS category]]="Moderate",3, Table4771[[#This Row],[EQS category]]="Good",2, Table4771[[#This Row],[EQS category]]="High",1),"")</f>
        <v/>
      </c>
    </row>
    <row r="58" spans="3:8" x14ac:dyDescent="0.4">
      <c r="C58" s="74" t="str">
        <f>C13</f>
        <v/>
      </c>
      <c r="D58" s="74" t="str">
        <f>E13</f>
        <v>Redox potential (EhNHE)</v>
      </c>
      <c r="E58" s="74" t="str">
        <f>G13</f>
        <v>Outside site boundary</v>
      </c>
      <c r="F58" s="75" t="str">
        <f>IFERROR(AVERAGE(I13:J14, I37:J38,I42:J43,I47:J48),"")</f>
        <v/>
      </c>
      <c r="G58" s="55" t="str" cm="1">
        <f t="array" ref="G58">IFERROR(INDEX(Table517276[EQS category ref], MATCH(1, (Table4771[[#This Row],[Abiotic indicator]]=Table517276[Abiotic index ref])*(Table4771[[#This Row],[Avg. indicator value]]&gt;=Table517276[Equal or larger than])*(Table4771[[#This Row],[Avg. indicator value]]&lt;Table517276[smaller than]),0)),"")</f>
        <v/>
      </c>
      <c r="H58" s="74" t="str" cm="1">
        <f t="array" ref="H58">IFERROR(_xlfn.IFS(Table4771[[#This Row],[EQS category]]="Bad",5, Table4771[[#This Row],[EQS category]]="Poor",4, Table4771[[#This Row],[EQS category]]="Moderate",3, Table4771[[#This Row],[EQS category]]="Good",2, Table4771[[#This Row],[EQS category]]="High",1),"")</f>
        <v/>
      </c>
    </row>
    <row r="60" spans="3:8" x14ac:dyDescent="0.4">
      <c r="D60" s="17" t="s">
        <v>123</v>
      </c>
      <c r="E60" s="19"/>
      <c r="F60" s="19"/>
      <c r="G60" s="19"/>
    </row>
    <row r="61" spans="3:8" hidden="1" x14ac:dyDescent="0.4">
      <c r="C61" s="14">
        <v>6.27</v>
      </c>
      <c r="D61" s="14">
        <v>6.28</v>
      </c>
      <c r="E61" s="14">
        <v>6.29</v>
      </c>
      <c r="F61" s="14">
        <v>6.31</v>
      </c>
    </row>
    <row r="62" spans="3:8" ht="17.399999999999999" thickBot="1" x14ac:dyDescent="0.45">
      <c r="C62" s="63" t="s">
        <v>124</v>
      </c>
      <c r="D62" s="63" t="s">
        <v>76</v>
      </c>
      <c r="E62" s="78" t="s">
        <v>125</v>
      </c>
      <c r="F62" s="78" t="s">
        <v>126</v>
      </c>
      <c r="G62" s="23"/>
    </row>
    <row r="63" spans="3:8" ht="17.399999999999999" thickTop="1" x14ac:dyDescent="0.4">
      <c r="C63" s="74" t="str">
        <f>C53</f>
        <v/>
      </c>
      <c r="D63" s="79" t="str">
        <f>E53</f>
        <v>Inside site boundary</v>
      </c>
      <c r="E63" s="55" t="str" cm="1">
        <f t="array" ref="E63">IFERROR(_xlfn.IFS(D53= "Total Free Sulphide (S2-UV μM)", (H53*0.75+H54*0.25), D53="Total Free Sulphide (S2-ISE μM)", (H53+H54)/2),"")</f>
        <v/>
      </c>
      <c r="F63" s="55" t="str" cm="1">
        <f t="array" ref="F63">IFERROR(INDEX(Table2015[EQS category ref], MATCH(1,(Table484573[[#This Row],[Zone EQS score]]&gt;Table2015[Larger than])*(Table484573[[#This Row],[Zone EQS score]]&lt;=Table2015[Equal or smaller than]),0)),"")</f>
        <v/>
      </c>
    </row>
    <row r="64" spans="3:8" x14ac:dyDescent="0.4">
      <c r="C64" s="74" t="str">
        <f>C55</f>
        <v/>
      </c>
      <c r="D64" s="79" t="str">
        <f>E55</f>
        <v>On site boundary</v>
      </c>
      <c r="E64" s="55" t="str" cm="1">
        <f t="array" ref="E64">IFERROR(_xlfn.IFS(D55= "Total Free Sulphide (S2-UV μM)", (H55*0.75+H56*0.25), D55="Total Free Sulphide (S2-ISE μM)", (H55+H56)/2),"")</f>
        <v/>
      </c>
      <c r="F64" s="55" t="str" cm="1">
        <f t="array" ref="F64">IFERROR(INDEX(Table2015[EQS category ref], MATCH(1,(Table484573[[#This Row],[Zone EQS score]]&gt;Table2015[Larger than])*(Table484573[[#This Row],[Zone EQS score]]&lt;=Table2015[Equal or smaller than]),0)),"")</f>
        <v/>
      </c>
    </row>
    <row r="65" spans="3:6" x14ac:dyDescent="0.4">
      <c r="C65" s="74" t="str">
        <f>C57</f>
        <v/>
      </c>
      <c r="D65" s="79" t="str">
        <f>E57</f>
        <v>Outside site boundary</v>
      </c>
      <c r="E65" s="55" t="str" cm="1">
        <f t="array" ref="E65">IFERROR(_xlfn.IFS(D57= "Total Free Sulphide (S2-UV μM)", (H57*0.75+H58*0.25), D57="Total Free Sulphide (S2-ISE μM)",(H57+H58)/2),"")</f>
        <v/>
      </c>
      <c r="F65" s="55" t="str" cm="1">
        <f t="array" ref="F65">IFERROR(INDEX(Table2015[EQS category ref], MATCH(1,(Table484573[[#This Row],[Zone EQS score]]&gt;Table2015[Larger than])*(Table484573[[#This Row],[Zone EQS score]]&lt;=Table2015[Equal or smaller than]),0)),"")</f>
        <v/>
      </c>
    </row>
    <row r="67" spans="3:6" x14ac:dyDescent="0.4">
      <c r="D67" s="17" t="s">
        <v>127</v>
      </c>
    </row>
    <row r="68" spans="3:6" hidden="1" x14ac:dyDescent="0.4">
      <c r="C68" s="14">
        <v>6.32</v>
      </c>
      <c r="D68" s="14">
        <v>6.33</v>
      </c>
    </row>
    <row r="69" spans="3:6" x14ac:dyDescent="0.4">
      <c r="C69" s="63" t="s">
        <v>40</v>
      </c>
      <c r="D69" s="62" t="s">
        <v>164</v>
      </c>
    </row>
    <row r="70" spans="3:6" x14ac:dyDescent="0.4">
      <c r="C70" s="79" t="str">
        <f>C63</f>
        <v/>
      </c>
      <c r="D70" s="55" t="str" cm="1">
        <f t="array" ref="D70">IFERROR(INDEX(Table76[Benthic status], MATCH(1, (F63=Table76[Inside site boundary])*(F64=Table76[Outside site boundary])*(F65=Table76[Outside site boundary]), 0)),"")</f>
        <v/>
      </c>
    </row>
    <row r="72" spans="3:6" ht="16.2" customHeight="1" x14ac:dyDescent="0.4"/>
  </sheetData>
  <sheetProtection algorithmName="SHA-512" hashValue="VPfCa3xIORfn7Q5HF4ov4woO0FC6pGNbeNox8ZAXVRNLTixHcuvo/nDhFm6y/dPPyJKfV5H/PZElxlKYg8LB+A==" saltValue="Bt7RwtaaY0wUvUdI0QDLbQ==" spinCount="100000" sheet="1" objects="1" scenarios="1"/>
  <phoneticPr fontId="6"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48"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tables - Production'!$Y$2:$Y$4</xm:f>
          </x14:formula1>
          <xm:sqref>E5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4"/>
    <col min="2" max="2" width="0" style="14" hidden="1" customWidth="1"/>
    <col min="3" max="3" width="13.44140625" style="14" hidden="1" customWidth="1"/>
    <col min="4" max="4" width="22.77734375" style="14" customWidth="1"/>
    <col min="5" max="5" width="28.21875" style="14" customWidth="1"/>
    <col min="6" max="6" width="26.5546875" style="14" bestFit="1" customWidth="1"/>
    <col min="7" max="7" width="27" style="14" customWidth="1"/>
    <col min="8" max="8" width="21.21875" style="14" customWidth="1"/>
    <col min="9" max="9" width="13" style="14" customWidth="1"/>
    <col min="10" max="10" width="12.21875" style="14" customWidth="1"/>
    <col min="11" max="11" width="13.5546875" style="14" customWidth="1"/>
    <col min="12" max="26" width="9" style="14" customWidth="1"/>
    <col min="27" max="36" width="9" style="14" hidden="1" customWidth="1"/>
    <col min="37" max="38" width="0" style="14" hidden="1" customWidth="1"/>
    <col min="39" max="16384" width="9" style="14"/>
  </cols>
  <sheetData>
    <row r="1" spans="3:36" x14ac:dyDescent="0.4">
      <c r="W1" s="19"/>
      <c r="X1" s="19"/>
      <c r="Y1" s="19"/>
      <c r="Z1" s="19"/>
      <c r="AA1" s="19"/>
      <c r="AB1" s="19"/>
    </row>
    <row r="2" spans="3:36" x14ac:dyDescent="0.4">
      <c r="D2" s="17" t="s">
        <v>1909</v>
      </c>
      <c r="AA2" s="17" t="s">
        <v>130</v>
      </c>
      <c r="AH2" s="17" t="s">
        <v>72</v>
      </c>
      <c r="AI2"/>
    </row>
    <row r="3" spans="3:36" hidden="1" x14ac:dyDescent="0.4">
      <c r="C3" s="61">
        <v>6.1</v>
      </c>
      <c r="D3" s="61">
        <v>6.2</v>
      </c>
      <c r="E3" s="61">
        <v>6.3</v>
      </c>
      <c r="F3" s="61">
        <v>6.4</v>
      </c>
      <c r="G3" s="61">
        <v>6.5</v>
      </c>
      <c r="H3" s="61">
        <v>6.6</v>
      </c>
      <c r="I3" s="61">
        <v>6.7</v>
      </c>
      <c r="J3" s="61">
        <v>6.8</v>
      </c>
      <c r="K3" s="61">
        <v>6.9</v>
      </c>
      <c r="AI3"/>
      <c r="AJ3" s="19"/>
    </row>
    <row r="4" spans="3:36" ht="43.2" customHeight="1" thickBot="1" x14ac:dyDescent="0.45">
      <c r="C4" s="58" t="s">
        <v>40</v>
      </c>
      <c r="D4" s="57" t="s">
        <v>73</v>
      </c>
      <c r="E4" s="57" t="s">
        <v>132</v>
      </c>
      <c r="F4" s="60" t="s">
        <v>75</v>
      </c>
      <c r="G4" s="106" t="s">
        <v>76</v>
      </c>
      <c r="H4" s="60" t="s">
        <v>155</v>
      </c>
      <c r="I4" s="60" t="s">
        <v>78</v>
      </c>
      <c r="J4" s="60" t="s">
        <v>79</v>
      </c>
      <c r="K4" s="59" t="s">
        <v>52</v>
      </c>
      <c r="L4" s="61"/>
      <c r="S4" s="61"/>
      <c r="AA4" s="14" t="s">
        <v>133</v>
      </c>
      <c r="AB4" s="14" t="s">
        <v>81</v>
      </c>
      <c r="AC4" s="14" t="s">
        <v>82</v>
      </c>
      <c r="AD4" s="14" t="s">
        <v>83</v>
      </c>
      <c r="AE4" s="14" t="s">
        <v>52</v>
      </c>
      <c r="AH4" s="92" t="s">
        <v>156</v>
      </c>
      <c r="AI4" s="76" t="s">
        <v>157</v>
      </c>
      <c r="AJ4" s="84" t="s">
        <v>88</v>
      </c>
    </row>
    <row r="5" spans="3:36" ht="17.399999999999999" thickTop="1" x14ac:dyDescent="0.4">
      <c r="C5" s="55" t="str">
        <f>IF('Site and production details'!C5= 0, "", 'Site and production details'!C5)</f>
        <v/>
      </c>
      <c r="D5" s="151"/>
      <c r="E5" s="188" t="s">
        <v>89</v>
      </c>
      <c r="F5" s="206" t="s">
        <v>90</v>
      </c>
      <c r="G5" s="115" t="s">
        <v>156</v>
      </c>
      <c r="H5" s="206" t="s">
        <v>158</v>
      </c>
      <c r="I5" s="206"/>
      <c r="J5" s="206"/>
      <c r="K5" s="168"/>
      <c r="AA5" s="14" t="s">
        <v>136</v>
      </c>
      <c r="AB5" s="20">
        <v>80.000010000000003</v>
      </c>
      <c r="AC5" s="20">
        <v>10000000</v>
      </c>
      <c r="AD5" s="14" t="s">
        <v>94</v>
      </c>
      <c r="AE5" s="14" t="s">
        <v>137</v>
      </c>
      <c r="AH5" s="94" t="s">
        <v>96</v>
      </c>
      <c r="AI5" s="68" t="s">
        <v>96</v>
      </c>
      <c r="AJ5" s="85" t="s">
        <v>98</v>
      </c>
    </row>
    <row r="6" spans="3:36" x14ac:dyDescent="0.4">
      <c r="C6" s="55" t="str">
        <f>C$5</f>
        <v/>
      </c>
      <c r="D6" s="151"/>
      <c r="E6" s="116" t="str">
        <f>IF(E5 = "Select", "", E5)</f>
        <v/>
      </c>
      <c r="F6" s="29" t="s">
        <v>90</v>
      </c>
      <c r="G6" s="55" t="s">
        <v>156</v>
      </c>
      <c r="H6" s="29" t="s">
        <v>159</v>
      </c>
      <c r="I6" s="29"/>
      <c r="J6" s="29"/>
      <c r="K6" s="169"/>
      <c r="AA6" s="14" t="s">
        <v>136</v>
      </c>
      <c r="AB6" s="20">
        <v>50</v>
      </c>
      <c r="AC6" s="20">
        <v>80.000010000000003</v>
      </c>
      <c r="AD6" s="14" t="s">
        <v>101</v>
      </c>
      <c r="AG6" s="19"/>
      <c r="AH6" s="96" t="s">
        <v>96</v>
      </c>
      <c r="AI6" s="56" t="s">
        <v>97</v>
      </c>
      <c r="AJ6" s="86" t="s">
        <v>98</v>
      </c>
    </row>
    <row r="7" spans="3:36" x14ac:dyDescent="0.4">
      <c r="C7" s="55" t="str">
        <f t="shared" ref="C7:C62" si="0">C$5</f>
        <v/>
      </c>
      <c r="D7" s="151"/>
      <c r="E7" s="116" t="str">
        <f t="shared" ref="E7:E9" si="1">IF(E6 = "Select", "", E6)</f>
        <v/>
      </c>
      <c r="F7" s="29" t="s">
        <v>90</v>
      </c>
      <c r="G7" s="55" t="s">
        <v>160</v>
      </c>
      <c r="H7" s="29" t="s">
        <v>161</v>
      </c>
      <c r="I7" s="29"/>
      <c r="J7" s="29"/>
      <c r="K7" s="169"/>
      <c r="AA7" s="14" t="s">
        <v>136</v>
      </c>
      <c r="AB7" s="20">
        <v>35</v>
      </c>
      <c r="AC7" s="20">
        <v>50</v>
      </c>
      <c r="AD7" s="14" t="s">
        <v>104</v>
      </c>
      <c r="AG7" s="19"/>
      <c r="AH7" s="94" t="s">
        <v>96</v>
      </c>
      <c r="AI7" s="68" t="s">
        <v>104</v>
      </c>
      <c r="AJ7" s="85" t="s">
        <v>98</v>
      </c>
    </row>
    <row r="8" spans="3:36" x14ac:dyDescent="0.4">
      <c r="C8" s="55" t="str">
        <f t="shared" si="0"/>
        <v/>
      </c>
      <c r="D8" s="151"/>
      <c r="E8" s="116" t="str">
        <f t="shared" si="1"/>
        <v/>
      </c>
      <c r="F8" s="29" t="s">
        <v>90</v>
      </c>
      <c r="G8" s="55" t="s">
        <v>157</v>
      </c>
      <c r="H8" s="29" t="s">
        <v>162</v>
      </c>
      <c r="I8" s="29"/>
      <c r="J8" s="29"/>
      <c r="K8" s="169"/>
      <c r="AA8" s="14" t="s">
        <v>136</v>
      </c>
      <c r="AB8" s="20">
        <v>15</v>
      </c>
      <c r="AC8" s="20">
        <v>35</v>
      </c>
      <c r="AD8" s="14" t="s">
        <v>96</v>
      </c>
      <c r="AG8" s="19"/>
      <c r="AH8" s="96" t="s">
        <v>96</v>
      </c>
      <c r="AI8" s="56" t="s">
        <v>101</v>
      </c>
      <c r="AJ8" s="86" t="s">
        <v>98</v>
      </c>
    </row>
    <row r="9" spans="3:36" x14ac:dyDescent="0.4">
      <c r="C9" s="55" t="str">
        <f t="shared" si="0"/>
        <v/>
      </c>
      <c r="D9" s="151"/>
      <c r="E9" s="116" t="str">
        <f t="shared" si="1"/>
        <v/>
      </c>
      <c r="F9" s="207" t="s">
        <v>90</v>
      </c>
      <c r="G9" s="118" t="s">
        <v>157</v>
      </c>
      <c r="H9" s="207" t="s">
        <v>163</v>
      </c>
      <c r="I9" s="207"/>
      <c r="J9" s="207"/>
      <c r="K9" s="170"/>
      <c r="AA9" s="14" t="s">
        <v>136</v>
      </c>
      <c r="AB9" s="20">
        <v>0</v>
      </c>
      <c r="AC9" s="20">
        <v>15</v>
      </c>
      <c r="AD9" s="14" t="s">
        <v>97</v>
      </c>
      <c r="AE9" s="14" t="s">
        <v>107</v>
      </c>
      <c r="AH9" s="94" t="s">
        <v>96</v>
      </c>
      <c r="AI9" s="68" t="s">
        <v>94</v>
      </c>
      <c r="AJ9" s="85" t="s">
        <v>98</v>
      </c>
    </row>
    <row r="10" spans="3:36" x14ac:dyDescent="0.4">
      <c r="C10" s="55" t="str">
        <f t="shared" si="0"/>
        <v/>
      </c>
      <c r="D10" s="151"/>
      <c r="E10" s="116" t="str">
        <f t="shared" ref="E10:E24" si="2">IF(E9 = "Select", "", E9)</f>
        <v/>
      </c>
      <c r="F10" s="206" t="s">
        <v>112</v>
      </c>
      <c r="G10" s="115" t="s">
        <v>156</v>
      </c>
      <c r="H10" s="206" t="s">
        <v>158</v>
      </c>
      <c r="I10" s="206"/>
      <c r="J10" s="206"/>
      <c r="K10" s="168"/>
      <c r="Y10" s="19"/>
      <c r="Z10" s="19"/>
      <c r="AA10" s="14" t="s">
        <v>138</v>
      </c>
      <c r="AB10" s="20">
        <v>0</v>
      </c>
      <c r="AC10" s="20">
        <v>20</v>
      </c>
      <c r="AD10" s="14" t="s">
        <v>94</v>
      </c>
      <c r="AE10" s="14" t="s">
        <v>107</v>
      </c>
      <c r="AH10" s="96" t="s">
        <v>97</v>
      </c>
      <c r="AI10" s="56" t="s">
        <v>96</v>
      </c>
      <c r="AJ10" s="86" t="s">
        <v>98</v>
      </c>
    </row>
    <row r="11" spans="3:36" x14ac:dyDescent="0.4">
      <c r="C11" s="55" t="str">
        <f t="shared" si="0"/>
        <v/>
      </c>
      <c r="D11" s="151"/>
      <c r="E11" s="116" t="str">
        <f t="shared" si="2"/>
        <v/>
      </c>
      <c r="F11" s="29" t="s">
        <v>112</v>
      </c>
      <c r="G11" s="55" t="s">
        <v>156</v>
      </c>
      <c r="H11" s="29" t="s">
        <v>159</v>
      </c>
      <c r="I11" s="29"/>
      <c r="J11" s="29"/>
      <c r="K11" s="169"/>
      <c r="AA11" s="14" t="s">
        <v>138</v>
      </c>
      <c r="AB11" s="20">
        <v>20</v>
      </c>
      <c r="AC11" s="20">
        <v>40.000010000000003</v>
      </c>
      <c r="AD11" s="14" t="s">
        <v>101</v>
      </c>
      <c r="AH11" s="94" t="s">
        <v>97</v>
      </c>
      <c r="AI11" s="68" t="s">
        <v>97</v>
      </c>
      <c r="AJ11" s="85" t="s">
        <v>98</v>
      </c>
    </row>
    <row r="12" spans="3:36" x14ac:dyDescent="0.4">
      <c r="C12" s="55" t="str">
        <f t="shared" si="0"/>
        <v/>
      </c>
      <c r="D12" s="151"/>
      <c r="E12" s="116" t="str">
        <f t="shared" si="2"/>
        <v/>
      </c>
      <c r="F12" s="29" t="s">
        <v>112</v>
      </c>
      <c r="G12" s="55" t="s">
        <v>160</v>
      </c>
      <c r="H12" s="29" t="s">
        <v>161</v>
      </c>
      <c r="I12" s="29"/>
      <c r="J12" s="29"/>
      <c r="K12" s="169"/>
      <c r="AA12" s="14" t="s">
        <v>138</v>
      </c>
      <c r="AB12" s="20">
        <v>40.000010000000003</v>
      </c>
      <c r="AC12" s="20">
        <v>60.000010000000003</v>
      </c>
      <c r="AD12" s="14" t="s">
        <v>104</v>
      </c>
      <c r="AH12" s="96" t="s">
        <v>97</v>
      </c>
      <c r="AI12" s="56" t="s">
        <v>104</v>
      </c>
      <c r="AJ12" s="86" t="s">
        <v>98</v>
      </c>
    </row>
    <row r="13" spans="3:36" x14ac:dyDescent="0.4">
      <c r="C13" s="55" t="str">
        <f t="shared" si="0"/>
        <v/>
      </c>
      <c r="D13" s="151"/>
      <c r="E13" s="116" t="str">
        <f t="shared" si="2"/>
        <v/>
      </c>
      <c r="F13" s="29" t="s">
        <v>112</v>
      </c>
      <c r="G13" s="55" t="s">
        <v>157</v>
      </c>
      <c r="H13" s="29" t="s">
        <v>162</v>
      </c>
      <c r="I13" s="29"/>
      <c r="J13" s="29"/>
      <c r="K13" s="169"/>
      <c r="Y13" s="19"/>
      <c r="Z13" s="19"/>
      <c r="AA13" s="14" t="s">
        <v>138</v>
      </c>
      <c r="AB13" s="20">
        <v>60.000010000000003</v>
      </c>
      <c r="AC13" s="20">
        <v>80.000010000000003</v>
      </c>
      <c r="AD13" s="14" t="s">
        <v>96</v>
      </c>
      <c r="AH13" s="94" t="s">
        <v>97</v>
      </c>
      <c r="AI13" s="68" t="s">
        <v>101</v>
      </c>
      <c r="AJ13" s="85" t="s">
        <v>98</v>
      </c>
    </row>
    <row r="14" spans="3:36" x14ac:dyDescent="0.4">
      <c r="C14" s="55" t="str">
        <f t="shared" si="0"/>
        <v/>
      </c>
      <c r="D14" s="151"/>
      <c r="E14" s="116" t="str">
        <f t="shared" si="2"/>
        <v/>
      </c>
      <c r="F14" s="207" t="s">
        <v>112</v>
      </c>
      <c r="G14" s="118" t="s">
        <v>157</v>
      </c>
      <c r="H14" s="207" t="s">
        <v>163</v>
      </c>
      <c r="I14" s="207"/>
      <c r="J14" s="207"/>
      <c r="K14" s="170"/>
      <c r="AA14" s="14" t="s">
        <v>138</v>
      </c>
      <c r="AB14" s="20">
        <v>80.000010000000003</v>
      </c>
      <c r="AC14" s="20">
        <v>10000000</v>
      </c>
      <c r="AD14" s="14" t="s">
        <v>97</v>
      </c>
      <c r="AE14" s="14" t="s">
        <v>137</v>
      </c>
      <c r="AH14" s="96" t="s">
        <v>97</v>
      </c>
      <c r="AI14" s="56" t="s">
        <v>94</v>
      </c>
      <c r="AJ14" s="86" t="s">
        <v>98</v>
      </c>
    </row>
    <row r="15" spans="3:36" x14ac:dyDescent="0.4">
      <c r="C15" s="55" t="str">
        <f t="shared" si="0"/>
        <v/>
      </c>
      <c r="D15" s="151"/>
      <c r="E15" s="116" t="str">
        <f t="shared" si="2"/>
        <v/>
      </c>
      <c r="F15" s="206" t="s">
        <v>113</v>
      </c>
      <c r="G15" s="115" t="s">
        <v>156</v>
      </c>
      <c r="H15" s="206" t="s">
        <v>158</v>
      </c>
      <c r="I15" s="206"/>
      <c r="J15" s="206"/>
      <c r="K15" s="168"/>
      <c r="AA15" s="14" t="s">
        <v>139</v>
      </c>
      <c r="AB15" s="20">
        <v>0</v>
      </c>
      <c r="AC15" s="20">
        <v>3.1E-2</v>
      </c>
      <c r="AD15" s="14" t="s">
        <v>94</v>
      </c>
      <c r="AH15" s="94" t="s">
        <v>104</v>
      </c>
      <c r="AI15" s="68" t="s">
        <v>96</v>
      </c>
      <c r="AJ15" s="85" t="s">
        <v>98</v>
      </c>
    </row>
    <row r="16" spans="3:36" x14ac:dyDescent="0.4">
      <c r="C16" s="55" t="str">
        <f t="shared" si="0"/>
        <v/>
      </c>
      <c r="D16" s="151"/>
      <c r="E16" s="116" t="str">
        <f t="shared" si="2"/>
        <v/>
      </c>
      <c r="F16" s="29" t="s">
        <v>113</v>
      </c>
      <c r="G16" s="55" t="s">
        <v>156</v>
      </c>
      <c r="H16" s="29" t="s">
        <v>159</v>
      </c>
      <c r="I16" s="29"/>
      <c r="J16" s="29"/>
      <c r="K16" s="169"/>
      <c r="AA16" s="14" t="s">
        <v>139</v>
      </c>
      <c r="AB16" s="20">
        <v>3.1E-2</v>
      </c>
      <c r="AC16" s="20">
        <v>0.12600001</v>
      </c>
      <c r="AD16" s="14" t="s">
        <v>101</v>
      </c>
      <c r="AH16" s="96" t="s">
        <v>104</v>
      </c>
      <c r="AI16" s="56" t="s">
        <v>97</v>
      </c>
      <c r="AJ16" s="86" t="s">
        <v>98</v>
      </c>
    </row>
    <row r="17" spans="3:36" x14ac:dyDescent="0.4">
      <c r="C17" s="55" t="str">
        <f t="shared" si="0"/>
        <v/>
      </c>
      <c r="D17" s="151"/>
      <c r="E17" s="116" t="str">
        <f t="shared" si="2"/>
        <v/>
      </c>
      <c r="F17" s="29" t="s">
        <v>113</v>
      </c>
      <c r="G17" s="55" t="s">
        <v>160</v>
      </c>
      <c r="H17" s="29" t="s">
        <v>161</v>
      </c>
      <c r="I17" s="29"/>
      <c r="J17" s="29"/>
      <c r="K17" s="169"/>
      <c r="AA17" s="14" t="s">
        <v>139</v>
      </c>
      <c r="AB17" s="20">
        <v>0.12600001</v>
      </c>
      <c r="AC17" s="20">
        <v>0.18700000999999999</v>
      </c>
      <c r="AD17" s="14" t="s">
        <v>104</v>
      </c>
      <c r="AH17" s="94" t="s">
        <v>104</v>
      </c>
      <c r="AI17" s="68" t="s">
        <v>104</v>
      </c>
      <c r="AJ17" s="85" t="s">
        <v>129</v>
      </c>
    </row>
    <row r="18" spans="3:36" x14ac:dyDescent="0.4">
      <c r="C18" s="55" t="str">
        <f t="shared" si="0"/>
        <v/>
      </c>
      <c r="D18" s="151"/>
      <c r="E18" s="116" t="str">
        <f t="shared" si="2"/>
        <v/>
      </c>
      <c r="F18" s="29" t="s">
        <v>113</v>
      </c>
      <c r="G18" s="55" t="s">
        <v>157</v>
      </c>
      <c r="H18" s="29" t="s">
        <v>162</v>
      </c>
      <c r="I18" s="29"/>
      <c r="J18" s="29"/>
      <c r="K18" s="169"/>
      <c r="AA18" s="14" t="s">
        <v>139</v>
      </c>
      <c r="AB18" s="20">
        <v>0.18700000999999999</v>
      </c>
      <c r="AC18" s="20">
        <v>0.23700001000000001</v>
      </c>
      <c r="AD18" s="14" t="s">
        <v>96</v>
      </c>
      <c r="AH18" s="96" t="s">
        <v>104</v>
      </c>
      <c r="AI18" s="56" t="s">
        <v>101</v>
      </c>
      <c r="AJ18" s="86" t="s">
        <v>129</v>
      </c>
    </row>
    <row r="19" spans="3:36" x14ac:dyDescent="0.4">
      <c r="C19" s="55" t="str">
        <f t="shared" si="0"/>
        <v/>
      </c>
      <c r="D19" s="151"/>
      <c r="E19" s="116" t="str">
        <f t="shared" si="2"/>
        <v/>
      </c>
      <c r="F19" s="207" t="s">
        <v>113</v>
      </c>
      <c r="G19" s="118" t="s">
        <v>157</v>
      </c>
      <c r="H19" s="207" t="s">
        <v>163</v>
      </c>
      <c r="I19" s="207"/>
      <c r="J19" s="207"/>
      <c r="K19" s="170"/>
      <c r="AA19" s="14" t="s">
        <v>139</v>
      </c>
      <c r="AB19" s="20">
        <v>0.23700001000000001</v>
      </c>
      <c r="AC19" s="20">
        <v>10000000</v>
      </c>
      <c r="AD19" s="14" t="s">
        <v>97</v>
      </c>
      <c r="AE19" s="14" t="s">
        <v>137</v>
      </c>
      <c r="AH19" s="94" t="s">
        <v>104</v>
      </c>
      <c r="AI19" s="68" t="s">
        <v>94</v>
      </c>
      <c r="AJ19" s="85" t="s">
        <v>129</v>
      </c>
    </row>
    <row r="20" spans="3:36" x14ac:dyDescent="0.4">
      <c r="C20" s="55" t="str">
        <f t="shared" si="0"/>
        <v/>
      </c>
      <c r="D20" s="151"/>
      <c r="E20" s="116" t="str">
        <f t="shared" si="2"/>
        <v/>
      </c>
      <c r="F20" s="206" t="s">
        <v>118</v>
      </c>
      <c r="G20" s="115" t="s">
        <v>156</v>
      </c>
      <c r="H20" s="206" t="s">
        <v>158</v>
      </c>
      <c r="I20" s="206"/>
      <c r="J20" s="206"/>
      <c r="K20" s="168"/>
      <c r="AA20" s="14" t="s">
        <v>140</v>
      </c>
      <c r="AB20" s="20">
        <v>0</v>
      </c>
      <c r="AC20" s="20">
        <v>1.2</v>
      </c>
      <c r="AD20" s="14" t="s">
        <v>94</v>
      </c>
      <c r="AE20" s="14" t="s">
        <v>107</v>
      </c>
      <c r="AH20" s="96" t="s">
        <v>101</v>
      </c>
      <c r="AI20" s="56" t="s">
        <v>96</v>
      </c>
      <c r="AJ20" s="86" t="s">
        <v>98</v>
      </c>
    </row>
    <row r="21" spans="3:36" x14ac:dyDescent="0.4">
      <c r="C21" s="55" t="str">
        <f t="shared" si="0"/>
        <v/>
      </c>
      <c r="D21" s="151"/>
      <c r="E21" s="116" t="str">
        <f t="shared" si="2"/>
        <v/>
      </c>
      <c r="F21" s="29" t="s">
        <v>118</v>
      </c>
      <c r="G21" s="55" t="s">
        <v>156</v>
      </c>
      <c r="H21" s="29" t="s">
        <v>159</v>
      </c>
      <c r="I21" s="29"/>
      <c r="J21" s="29"/>
      <c r="K21" s="169"/>
      <c r="AA21" s="14" t="s">
        <v>140</v>
      </c>
      <c r="AB21" s="20">
        <v>1.2000010000000001</v>
      </c>
      <c r="AC21" s="20">
        <v>3.0000100000000001</v>
      </c>
      <c r="AD21" s="14" t="s">
        <v>101</v>
      </c>
      <c r="AH21" s="94" t="s">
        <v>101</v>
      </c>
      <c r="AI21" s="68" t="s">
        <v>97</v>
      </c>
      <c r="AJ21" s="85" t="s">
        <v>98</v>
      </c>
    </row>
    <row r="22" spans="3:36" x14ac:dyDescent="0.4">
      <c r="C22" s="55" t="str">
        <f t="shared" si="0"/>
        <v/>
      </c>
      <c r="D22" s="151"/>
      <c r="E22" s="116" t="str">
        <f t="shared" si="2"/>
        <v/>
      </c>
      <c r="F22" s="29" t="s">
        <v>118</v>
      </c>
      <c r="G22" s="55" t="s">
        <v>160</v>
      </c>
      <c r="H22" s="29" t="s">
        <v>161</v>
      </c>
      <c r="I22" s="29"/>
      <c r="J22" s="29"/>
      <c r="K22" s="169"/>
      <c r="AA22" s="14" t="s">
        <v>140</v>
      </c>
      <c r="AB22" s="20">
        <v>3.0000100000000001</v>
      </c>
      <c r="AC22" s="20">
        <v>3.9000010000000001</v>
      </c>
      <c r="AD22" s="14" t="s">
        <v>104</v>
      </c>
      <c r="AH22" s="96" t="s">
        <v>101</v>
      </c>
      <c r="AI22" s="56" t="s">
        <v>104</v>
      </c>
      <c r="AJ22" s="86" t="s">
        <v>129</v>
      </c>
    </row>
    <row r="23" spans="3:36" x14ac:dyDescent="0.4">
      <c r="C23" s="55" t="str">
        <f t="shared" si="0"/>
        <v/>
      </c>
      <c r="D23" s="151"/>
      <c r="E23" s="116" t="str">
        <f t="shared" si="2"/>
        <v/>
      </c>
      <c r="F23" s="29" t="s">
        <v>118</v>
      </c>
      <c r="G23" s="55" t="s">
        <v>157</v>
      </c>
      <c r="H23" s="29" t="s">
        <v>162</v>
      </c>
      <c r="I23" s="29"/>
      <c r="J23" s="29"/>
      <c r="K23" s="169"/>
      <c r="AA23" s="14" t="s">
        <v>140</v>
      </c>
      <c r="AB23" s="20">
        <v>3.9000010000000001</v>
      </c>
      <c r="AC23" s="20">
        <v>4.800001</v>
      </c>
      <c r="AD23" s="14" t="s">
        <v>96</v>
      </c>
      <c r="AH23" s="94" t="s">
        <v>101</v>
      </c>
      <c r="AI23" s="68" t="s">
        <v>101</v>
      </c>
      <c r="AJ23" s="85" t="s">
        <v>129</v>
      </c>
    </row>
    <row r="24" spans="3:36" x14ac:dyDescent="0.4">
      <c r="C24" s="55" t="str">
        <f t="shared" si="0"/>
        <v/>
      </c>
      <c r="D24" s="151"/>
      <c r="E24" s="119" t="str">
        <f t="shared" si="2"/>
        <v/>
      </c>
      <c r="F24" s="207" t="s">
        <v>118</v>
      </c>
      <c r="G24" s="118" t="s">
        <v>157</v>
      </c>
      <c r="H24" s="207" t="s">
        <v>163</v>
      </c>
      <c r="I24" s="207"/>
      <c r="J24" s="207"/>
      <c r="K24" s="170"/>
      <c r="AA24" s="14" t="s">
        <v>140</v>
      </c>
      <c r="AB24" s="20">
        <v>4.800001</v>
      </c>
      <c r="AC24" s="20">
        <v>10000000</v>
      </c>
      <c r="AD24" s="14" t="s">
        <v>97</v>
      </c>
      <c r="AE24" s="14" t="s">
        <v>137</v>
      </c>
      <c r="AH24" s="96" t="s">
        <v>101</v>
      </c>
      <c r="AI24" s="56" t="s">
        <v>94</v>
      </c>
      <c r="AJ24" s="86" t="s">
        <v>129</v>
      </c>
    </row>
    <row r="25" spans="3:36" x14ac:dyDescent="0.4">
      <c r="C25" s="55" t="str">
        <f t="shared" si="0"/>
        <v/>
      </c>
      <c r="D25" s="151"/>
      <c r="E25" s="188" t="s">
        <v>89</v>
      </c>
      <c r="F25" s="206" t="s">
        <v>90</v>
      </c>
      <c r="G25" s="115" t="s">
        <v>156</v>
      </c>
      <c r="H25" s="206" t="str">
        <f>H5</f>
        <v>20m inside boundary</v>
      </c>
      <c r="I25" s="206"/>
      <c r="J25" s="206"/>
      <c r="K25" s="168"/>
      <c r="AA25" s="14" t="s">
        <v>141</v>
      </c>
      <c r="AB25" s="20">
        <v>0.83000010000000002</v>
      </c>
      <c r="AC25" s="20">
        <v>10000000</v>
      </c>
      <c r="AD25" s="14" t="s">
        <v>94</v>
      </c>
      <c r="AE25" s="14" t="s">
        <v>137</v>
      </c>
      <c r="AH25" s="94" t="s">
        <v>94</v>
      </c>
      <c r="AI25" s="68" t="s">
        <v>96</v>
      </c>
      <c r="AJ25" s="85" t="s">
        <v>98</v>
      </c>
    </row>
    <row r="26" spans="3:36" x14ac:dyDescent="0.4">
      <c r="C26" s="55" t="str">
        <f t="shared" si="0"/>
        <v/>
      </c>
      <c r="D26" s="151"/>
      <c r="E26" s="112" t="str">
        <f>IF(E25 = "Select", "", E25)</f>
        <v/>
      </c>
      <c r="F26" s="29" t="s">
        <v>90</v>
      </c>
      <c r="G26" s="55" t="s">
        <v>156</v>
      </c>
      <c r="H26" s="29" t="str">
        <f t="shared" ref="H26:H44" si="3">H6</f>
        <v>10m inside boundary</v>
      </c>
      <c r="I26" s="29"/>
      <c r="J26" s="29"/>
      <c r="K26" s="169"/>
      <c r="AA26" s="14" t="s">
        <v>141</v>
      </c>
      <c r="AB26" s="20">
        <v>0.59000010000000003</v>
      </c>
      <c r="AC26" s="20">
        <v>0.83000010000000002</v>
      </c>
      <c r="AD26" s="14" t="s">
        <v>101</v>
      </c>
      <c r="AH26" s="96" t="s">
        <v>94</v>
      </c>
      <c r="AI26" s="56" t="s">
        <v>97</v>
      </c>
      <c r="AJ26" s="86" t="s">
        <v>98</v>
      </c>
    </row>
    <row r="27" spans="3:36" x14ac:dyDescent="0.4">
      <c r="C27" s="55" t="str">
        <f t="shared" si="0"/>
        <v/>
      </c>
      <c r="D27" s="151"/>
      <c r="E27" s="112" t="str">
        <f t="shared" ref="E27:E29" si="4">IF(E26 = "Select", "", E26)</f>
        <v/>
      </c>
      <c r="F27" s="29" t="s">
        <v>90</v>
      </c>
      <c r="G27" s="55" t="s">
        <v>160</v>
      </c>
      <c r="H27" s="29" t="str">
        <f t="shared" si="3"/>
        <v>0m on boundary</v>
      </c>
      <c r="I27" s="29"/>
      <c r="J27" s="29"/>
      <c r="K27" s="169"/>
      <c r="AA27" s="14" t="s">
        <v>141</v>
      </c>
      <c r="AB27" s="20">
        <v>0.47000009999999998</v>
      </c>
      <c r="AC27" s="20">
        <v>0.59000010000000003</v>
      </c>
      <c r="AD27" s="14" t="s">
        <v>104</v>
      </c>
      <c r="AH27" s="94" t="s">
        <v>94</v>
      </c>
      <c r="AI27" s="68" t="s">
        <v>104</v>
      </c>
      <c r="AJ27" s="85" t="s">
        <v>129</v>
      </c>
    </row>
    <row r="28" spans="3:36" x14ac:dyDescent="0.4">
      <c r="C28" s="55" t="str">
        <f t="shared" si="0"/>
        <v/>
      </c>
      <c r="D28" s="151"/>
      <c r="E28" s="112" t="str">
        <f t="shared" si="4"/>
        <v/>
      </c>
      <c r="F28" s="29" t="s">
        <v>90</v>
      </c>
      <c r="G28" s="55" t="s">
        <v>157</v>
      </c>
      <c r="H28" s="29" t="str">
        <f t="shared" si="3"/>
        <v>10m outside boundary</v>
      </c>
      <c r="I28" s="29"/>
      <c r="J28" s="29"/>
      <c r="K28" s="169"/>
      <c r="AA28" s="14" t="s">
        <v>141</v>
      </c>
      <c r="AB28" s="20">
        <v>0.35000009999999998</v>
      </c>
      <c r="AC28" s="20">
        <v>0.47000009999999998</v>
      </c>
      <c r="AD28" s="14" t="s">
        <v>96</v>
      </c>
      <c r="AH28" s="96" t="s">
        <v>94</v>
      </c>
      <c r="AI28" s="56" t="s">
        <v>101</v>
      </c>
      <c r="AJ28" s="86" t="s">
        <v>129</v>
      </c>
    </row>
    <row r="29" spans="3:36" x14ac:dyDescent="0.4">
      <c r="C29" s="55" t="str">
        <f t="shared" si="0"/>
        <v/>
      </c>
      <c r="D29" s="151"/>
      <c r="E29" s="112" t="str">
        <f t="shared" si="4"/>
        <v/>
      </c>
      <c r="F29" s="207" t="s">
        <v>90</v>
      </c>
      <c r="G29" s="118" t="s">
        <v>157</v>
      </c>
      <c r="H29" s="207" t="str">
        <f t="shared" si="3"/>
        <v>20m outside boundary</v>
      </c>
      <c r="I29" s="207"/>
      <c r="J29" s="207"/>
      <c r="K29" s="170"/>
      <c r="AA29" s="14" t="s">
        <v>141</v>
      </c>
      <c r="AB29" s="20">
        <v>0</v>
      </c>
      <c r="AC29" s="20">
        <v>0.35000009999999998</v>
      </c>
      <c r="AD29" s="14" t="s">
        <v>97</v>
      </c>
      <c r="AE29" s="14" t="s">
        <v>107</v>
      </c>
      <c r="AH29" s="97" t="s">
        <v>94</v>
      </c>
      <c r="AI29" s="87" t="s">
        <v>94</v>
      </c>
      <c r="AJ29" s="88" t="s">
        <v>129</v>
      </c>
    </row>
    <row r="30" spans="3:36" x14ac:dyDescent="0.4">
      <c r="C30" s="55" t="str">
        <f t="shared" si="0"/>
        <v/>
      </c>
      <c r="D30" s="151"/>
      <c r="E30" s="112" t="str">
        <f t="shared" ref="E30:E44" si="5">IF(E29 = "Select", "", E29)</f>
        <v/>
      </c>
      <c r="F30" s="206" t="s">
        <v>112</v>
      </c>
      <c r="G30" s="115" t="s">
        <v>156</v>
      </c>
      <c r="H30" s="206" t="str">
        <f t="shared" si="3"/>
        <v>20m inside boundary</v>
      </c>
      <c r="I30" s="206"/>
      <c r="J30" s="206"/>
      <c r="K30" s="168"/>
      <c r="AA30" s="14" t="s">
        <v>142</v>
      </c>
      <c r="AB30" s="20">
        <v>8.0000099999999996</v>
      </c>
      <c r="AC30" s="20">
        <v>100</v>
      </c>
      <c r="AD30" s="14" t="s">
        <v>94</v>
      </c>
    </row>
    <row r="31" spans="3:36" x14ac:dyDescent="0.4">
      <c r="C31" s="55" t="str">
        <f t="shared" si="0"/>
        <v/>
      </c>
      <c r="D31" s="151"/>
      <c r="E31" s="112" t="str">
        <f t="shared" si="5"/>
        <v/>
      </c>
      <c r="F31" s="29" t="s">
        <v>112</v>
      </c>
      <c r="G31" s="55" t="s">
        <v>156</v>
      </c>
      <c r="H31" s="29" t="str">
        <f t="shared" si="3"/>
        <v>10m inside boundary</v>
      </c>
      <c r="I31" s="29"/>
      <c r="J31" s="29"/>
      <c r="K31" s="169"/>
      <c r="AA31" s="14" t="s">
        <v>142</v>
      </c>
      <c r="AB31" s="20">
        <v>6</v>
      </c>
      <c r="AC31" s="20">
        <v>8.0000099999999996</v>
      </c>
      <c r="AD31" s="14" t="s">
        <v>101</v>
      </c>
    </row>
    <row r="32" spans="3:36" x14ac:dyDescent="0.4">
      <c r="C32" s="55" t="str">
        <f t="shared" si="0"/>
        <v/>
      </c>
      <c r="D32" s="151"/>
      <c r="E32" s="112" t="str">
        <f t="shared" si="5"/>
        <v/>
      </c>
      <c r="F32" s="29" t="s">
        <v>112</v>
      </c>
      <c r="G32" s="55" t="s">
        <v>160</v>
      </c>
      <c r="H32" s="29" t="str">
        <f t="shared" si="3"/>
        <v>0m on boundary</v>
      </c>
      <c r="I32" s="29"/>
      <c r="J32" s="29"/>
      <c r="K32" s="169"/>
      <c r="AA32" s="14" t="s">
        <v>142</v>
      </c>
      <c r="AB32" s="20">
        <v>4</v>
      </c>
      <c r="AC32" s="20">
        <v>6</v>
      </c>
      <c r="AD32" s="14" t="s">
        <v>104</v>
      </c>
    </row>
    <row r="33" spans="3:31" x14ac:dyDescent="0.4">
      <c r="C33" s="55" t="str">
        <f t="shared" si="0"/>
        <v/>
      </c>
      <c r="D33" s="151"/>
      <c r="E33" s="112" t="str">
        <f t="shared" si="5"/>
        <v/>
      </c>
      <c r="F33" s="29" t="s">
        <v>112</v>
      </c>
      <c r="G33" s="55" t="s">
        <v>157</v>
      </c>
      <c r="H33" s="29" t="str">
        <f t="shared" si="3"/>
        <v>10m outside boundary</v>
      </c>
      <c r="I33" s="29"/>
      <c r="J33" s="29"/>
      <c r="K33" s="169"/>
      <c r="AA33" s="14" t="s">
        <v>142</v>
      </c>
      <c r="AB33" s="20">
        <v>2</v>
      </c>
      <c r="AC33" s="20">
        <v>4</v>
      </c>
      <c r="AD33" s="14" t="s">
        <v>96</v>
      </c>
    </row>
    <row r="34" spans="3:31" x14ac:dyDescent="0.4">
      <c r="C34" s="55" t="str">
        <f t="shared" si="0"/>
        <v/>
      </c>
      <c r="D34" s="151"/>
      <c r="E34" s="112" t="str">
        <f t="shared" si="5"/>
        <v/>
      </c>
      <c r="F34" s="207" t="s">
        <v>112</v>
      </c>
      <c r="G34" s="118" t="s">
        <v>157</v>
      </c>
      <c r="H34" s="207" t="str">
        <f t="shared" si="3"/>
        <v>20m outside boundary</v>
      </c>
      <c r="I34" s="207"/>
      <c r="J34" s="207"/>
      <c r="K34" s="170"/>
      <c r="AA34" s="14" t="s">
        <v>142</v>
      </c>
      <c r="AB34" s="20">
        <v>0</v>
      </c>
      <c r="AC34" s="20">
        <v>2</v>
      </c>
      <c r="AD34" s="14" t="s">
        <v>97</v>
      </c>
      <c r="AE34" s="14" t="s">
        <v>107</v>
      </c>
    </row>
    <row r="35" spans="3:31" x14ac:dyDescent="0.4">
      <c r="C35" s="55" t="str">
        <f t="shared" si="0"/>
        <v/>
      </c>
      <c r="D35" s="151"/>
      <c r="E35" s="112" t="str">
        <f t="shared" si="5"/>
        <v/>
      </c>
      <c r="F35" s="206" t="s">
        <v>113</v>
      </c>
      <c r="G35" s="115" t="s">
        <v>156</v>
      </c>
      <c r="H35" s="206" t="str">
        <f t="shared" si="3"/>
        <v>20m inside boundary</v>
      </c>
      <c r="I35" s="206"/>
      <c r="J35" s="206"/>
      <c r="K35" s="168"/>
      <c r="AA35" s="14" t="s">
        <v>143</v>
      </c>
      <c r="AB35" s="20">
        <v>16.00001</v>
      </c>
      <c r="AC35" s="20">
        <v>10000000</v>
      </c>
      <c r="AD35" s="14" t="s">
        <v>94</v>
      </c>
      <c r="AE35" s="14" t="s">
        <v>137</v>
      </c>
    </row>
    <row r="36" spans="3:31" x14ac:dyDescent="0.4">
      <c r="C36" s="55" t="str">
        <f t="shared" si="0"/>
        <v/>
      </c>
      <c r="D36" s="151"/>
      <c r="E36" s="112" t="str">
        <f t="shared" si="5"/>
        <v/>
      </c>
      <c r="F36" s="29" t="s">
        <v>113</v>
      </c>
      <c r="G36" s="55" t="s">
        <v>156</v>
      </c>
      <c r="H36" s="29" t="str">
        <f t="shared" si="3"/>
        <v>10m inside boundary</v>
      </c>
      <c r="I36" s="29"/>
      <c r="J36" s="29"/>
      <c r="K36" s="169"/>
      <c r="AA36" s="14" t="s">
        <v>143</v>
      </c>
      <c r="AB36" s="20">
        <v>11.7</v>
      </c>
      <c r="AC36" s="20">
        <v>16.00001</v>
      </c>
      <c r="AD36" s="14" t="s">
        <v>101</v>
      </c>
    </row>
    <row r="37" spans="3:31" x14ac:dyDescent="0.4">
      <c r="C37" s="55" t="str">
        <f t="shared" si="0"/>
        <v/>
      </c>
      <c r="D37" s="151"/>
      <c r="E37" s="112" t="str">
        <f t="shared" si="5"/>
        <v/>
      </c>
      <c r="F37" s="29" t="s">
        <v>113</v>
      </c>
      <c r="G37" s="55" t="s">
        <v>160</v>
      </c>
      <c r="H37" s="29" t="str">
        <f t="shared" si="3"/>
        <v>0m on boundary</v>
      </c>
      <c r="I37" s="29"/>
      <c r="J37" s="29"/>
      <c r="K37" s="169"/>
      <c r="AA37" s="14" t="s">
        <v>143</v>
      </c>
      <c r="AB37" s="20">
        <v>7.5</v>
      </c>
      <c r="AC37" s="20">
        <v>11.7</v>
      </c>
      <c r="AD37" s="14" t="s">
        <v>104</v>
      </c>
    </row>
    <row r="38" spans="3:31" x14ac:dyDescent="0.4">
      <c r="C38" s="55" t="str">
        <f t="shared" si="0"/>
        <v/>
      </c>
      <c r="D38" s="151"/>
      <c r="E38" s="112" t="str">
        <f t="shared" si="5"/>
        <v/>
      </c>
      <c r="F38" s="29" t="s">
        <v>113</v>
      </c>
      <c r="G38" s="55" t="s">
        <v>157</v>
      </c>
      <c r="H38" s="29" t="str">
        <f t="shared" si="3"/>
        <v>10m outside boundary</v>
      </c>
      <c r="I38" s="29"/>
      <c r="J38" s="29"/>
      <c r="K38" s="169"/>
      <c r="AA38" s="14" t="s">
        <v>143</v>
      </c>
      <c r="AB38" s="20">
        <v>5.4</v>
      </c>
      <c r="AC38" s="20">
        <v>7.5</v>
      </c>
      <c r="AD38" s="14" t="s">
        <v>96</v>
      </c>
    </row>
    <row r="39" spans="3:31" x14ac:dyDescent="0.4">
      <c r="C39" s="55" t="str">
        <f t="shared" si="0"/>
        <v/>
      </c>
      <c r="D39" s="151"/>
      <c r="E39" s="112" t="str">
        <f t="shared" si="5"/>
        <v/>
      </c>
      <c r="F39" s="207" t="s">
        <v>113</v>
      </c>
      <c r="G39" s="118" t="s">
        <v>157</v>
      </c>
      <c r="H39" s="207" t="str">
        <f t="shared" si="3"/>
        <v>20m outside boundary</v>
      </c>
      <c r="I39" s="207"/>
      <c r="J39" s="207"/>
      <c r="K39" s="170"/>
      <c r="AA39" s="14" t="s">
        <v>143</v>
      </c>
      <c r="AB39" s="20">
        <v>0</v>
      </c>
      <c r="AC39" s="20">
        <v>5.4</v>
      </c>
      <c r="AD39" s="14" t="s">
        <v>97</v>
      </c>
      <c r="AE39" s="14" t="s">
        <v>107</v>
      </c>
    </row>
    <row r="40" spans="3:31" x14ac:dyDescent="0.4">
      <c r="C40" s="55" t="str">
        <f t="shared" si="0"/>
        <v/>
      </c>
      <c r="D40" s="151"/>
      <c r="E40" s="112" t="str">
        <f t="shared" si="5"/>
        <v/>
      </c>
      <c r="F40" s="206" t="s">
        <v>118</v>
      </c>
      <c r="G40" s="115" t="s">
        <v>156</v>
      </c>
      <c r="H40" s="206" t="str">
        <f t="shared" si="3"/>
        <v>20m inside boundary</v>
      </c>
      <c r="I40" s="206"/>
      <c r="J40" s="206"/>
      <c r="K40" s="168"/>
      <c r="AA40" s="14" t="s">
        <v>144</v>
      </c>
      <c r="AB40" s="20">
        <v>16.00001</v>
      </c>
      <c r="AC40" s="20">
        <v>10000000</v>
      </c>
      <c r="AD40" s="14" t="s">
        <v>94</v>
      </c>
      <c r="AE40" s="14" t="s">
        <v>137</v>
      </c>
    </row>
    <row r="41" spans="3:31" x14ac:dyDescent="0.4">
      <c r="C41" s="55" t="str">
        <f t="shared" si="0"/>
        <v/>
      </c>
      <c r="D41" s="151"/>
      <c r="E41" s="112" t="str">
        <f t="shared" si="5"/>
        <v/>
      </c>
      <c r="F41" s="29" t="s">
        <v>118</v>
      </c>
      <c r="G41" s="55" t="s">
        <v>156</v>
      </c>
      <c r="H41" s="29" t="str">
        <f t="shared" si="3"/>
        <v>10m inside boundary</v>
      </c>
      <c r="I41" s="29"/>
      <c r="J41" s="29"/>
      <c r="K41" s="169"/>
      <c r="AA41" s="14" t="s">
        <v>144</v>
      </c>
      <c r="AB41" s="20">
        <v>12</v>
      </c>
      <c r="AC41" s="20">
        <v>16.00001</v>
      </c>
      <c r="AD41" s="14" t="s">
        <v>101</v>
      </c>
    </row>
    <row r="42" spans="3:31" x14ac:dyDescent="0.4">
      <c r="C42" s="55" t="str">
        <f t="shared" si="0"/>
        <v/>
      </c>
      <c r="D42" s="151"/>
      <c r="E42" s="112" t="str">
        <f t="shared" si="5"/>
        <v/>
      </c>
      <c r="F42" s="29" t="s">
        <v>118</v>
      </c>
      <c r="G42" s="55" t="s">
        <v>160</v>
      </c>
      <c r="H42" s="29" t="str">
        <f t="shared" si="3"/>
        <v>0m on boundary</v>
      </c>
      <c r="I42" s="29"/>
      <c r="J42" s="29"/>
      <c r="K42" s="169"/>
      <c r="AA42" s="14" t="s">
        <v>144</v>
      </c>
      <c r="AB42" s="20">
        <v>8</v>
      </c>
      <c r="AC42" s="20">
        <v>12</v>
      </c>
      <c r="AD42" s="14" t="s">
        <v>104</v>
      </c>
    </row>
    <row r="43" spans="3:31" x14ac:dyDescent="0.4">
      <c r="C43" s="55" t="str">
        <f t="shared" si="0"/>
        <v/>
      </c>
      <c r="D43" s="151"/>
      <c r="E43" s="112" t="str">
        <f t="shared" si="5"/>
        <v/>
      </c>
      <c r="F43" s="29" t="s">
        <v>118</v>
      </c>
      <c r="G43" s="55" t="s">
        <v>157</v>
      </c>
      <c r="H43" s="29" t="str">
        <f t="shared" si="3"/>
        <v>10m outside boundary</v>
      </c>
      <c r="I43" s="29"/>
      <c r="J43" s="29"/>
      <c r="K43" s="169"/>
      <c r="AA43" s="14" t="s">
        <v>144</v>
      </c>
      <c r="AB43" s="20">
        <v>4</v>
      </c>
      <c r="AC43" s="20">
        <v>8</v>
      </c>
      <c r="AD43" s="14" t="s">
        <v>96</v>
      </c>
    </row>
    <row r="44" spans="3:31" x14ac:dyDescent="0.4">
      <c r="C44" s="55" t="str">
        <f t="shared" si="0"/>
        <v/>
      </c>
      <c r="D44" s="151"/>
      <c r="E44" s="113" t="str">
        <f t="shared" si="5"/>
        <v/>
      </c>
      <c r="F44" s="207" t="s">
        <v>118</v>
      </c>
      <c r="G44" s="118" t="s">
        <v>157</v>
      </c>
      <c r="H44" s="207" t="str">
        <f t="shared" si="3"/>
        <v>20m outside boundary</v>
      </c>
      <c r="I44" s="207"/>
      <c r="J44" s="207"/>
      <c r="K44" s="170"/>
      <c r="AA44" s="14" t="s">
        <v>144</v>
      </c>
      <c r="AB44" s="20">
        <v>0</v>
      </c>
      <c r="AC44" s="20">
        <v>4</v>
      </c>
      <c r="AD44" s="14" t="s">
        <v>97</v>
      </c>
      <c r="AE44" s="14" t="s">
        <v>107</v>
      </c>
    </row>
    <row r="45" spans="3:31" x14ac:dyDescent="0.4">
      <c r="C45" s="55" t="str">
        <f t="shared" si="0"/>
        <v/>
      </c>
      <c r="D45" s="151"/>
      <c r="E45" s="188" t="s">
        <v>89</v>
      </c>
      <c r="F45" s="206" t="s">
        <v>90</v>
      </c>
      <c r="G45" s="115" t="s">
        <v>156</v>
      </c>
      <c r="H45" s="206" t="str">
        <f>H5</f>
        <v>20m inside boundary</v>
      </c>
      <c r="I45" s="206"/>
      <c r="J45" s="206"/>
      <c r="K45" s="168"/>
      <c r="AA45" s="14" t="s">
        <v>145</v>
      </c>
      <c r="AB45" s="20">
        <v>20.80001</v>
      </c>
      <c r="AC45" s="20">
        <v>10000000</v>
      </c>
      <c r="AD45" s="14" t="s">
        <v>94</v>
      </c>
      <c r="AE45" s="14" t="s">
        <v>137</v>
      </c>
    </row>
    <row r="46" spans="3:31" x14ac:dyDescent="0.4">
      <c r="C46" s="55" t="str">
        <f t="shared" si="0"/>
        <v/>
      </c>
      <c r="D46" s="151"/>
      <c r="E46" s="112" t="str">
        <f>IF(E45 = "Select", "", E45)</f>
        <v/>
      </c>
      <c r="F46" s="29" t="s">
        <v>90</v>
      </c>
      <c r="G46" s="55" t="s">
        <v>156</v>
      </c>
      <c r="H46" s="29" t="str">
        <f t="shared" ref="H46:H64" si="6">H6</f>
        <v>10m inside boundary</v>
      </c>
      <c r="I46" s="29"/>
      <c r="J46" s="29"/>
      <c r="K46" s="169"/>
      <c r="AA46" s="14" t="s">
        <v>145</v>
      </c>
      <c r="AB46" s="20">
        <v>9.1999999999999993</v>
      </c>
      <c r="AC46" s="20">
        <v>20.800001000000002</v>
      </c>
      <c r="AD46" s="14" t="s">
        <v>101</v>
      </c>
    </row>
    <row r="47" spans="3:31" x14ac:dyDescent="0.4">
      <c r="C47" s="55" t="str">
        <f t="shared" si="0"/>
        <v/>
      </c>
      <c r="D47" s="151"/>
      <c r="E47" s="112" t="str">
        <f t="shared" ref="E47:E49" si="7">IF(E46 = "Select", "", E46)</f>
        <v/>
      </c>
      <c r="F47" s="29" t="s">
        <v>90</v>
      </c>
      <c r="G47" s="55" t="s">
        <v>160</v>
      </c>
      <c r="H47" s="29" t="str">
        <f t="shared" si="6"/>
        <v>0m on boundary</v>
      </c>
      <c r="I47" s="29"/>
      <c r="J47" s="29"/>
      <c r="K47" s="169"/>
      <c r="AA47" s="14" t="s">
        <v>145</v>
      </c>
      <c r="AB47" s="20">
        <v>5.7</v>
      </c>
      <c r="AC47" s="20">
        <v>9.1999999999999993</v>
      </c>
      <c r="AD47" s="14" t="s">
        <v>104</v>
      </c>
    </row>
    <row r="48" spans="3:31" x14ac:dyDescent="0.4">
      <c r="C48" s="55" t="str">
        <f t="shared" si="0"/>
        <v/>
      </c>
      <c r="D48" s="151"/>
      <c r="E48" s="112" t="str">
        <f t="shared" si="7"/>
        <v/>
      </c>
      <c r="F48" s="29" t="s">
        <v>90</v>
      </c>
      <c r="G48" s="55" t="s">
        <v>157</v>
      </c>
      <c r="H48" s="29" t="str">
        <f t="shared" si="6"/>
        <v>10m outside boundary</v>
      </c>
      <c r="I48" s="29"/>
      <c r="J48" s="29"/>
      <c r="K48" s="169"/>
      <c r="AA48" s="14" t="s">
        <v>145</v>
      </c>
      <c r="AB48" s="20">
        <v>1.9</v>
      </c>
      <c r="AC48" s="20">
        <v>5.7</v>
      </c>
      <c r="AD48" s="14" t="s">
        <v>96</v>
      </c>
    </row>
    <row r="49" spans="3:31" x14ac:dyDescent="0.4">
      <c r="C49" s="55" t="str">
        <f t="shared" si="0"/>
        <v/>
      </c>
      <c r="D49" s="151"/>
      <c r="E49" s="112" t="str">
        <f t="shared" si="7"/>
        <v/>
      </c>
      <c r="F49" s="207" t="s">
        <v>90</v>
      </c>
      <c r="G49" s="118" t="s">
        <v>157</v>
      </c>
      <c r="H49" s="207" t="str">
        <f t="shared" si="6"/>
        <v>20m outside boundary</v>
      </c>
      <c r="I49" s="207"/>
      <c r="J49" s="207"/>
      <c r="K49" s="170"/>
      <c r="AA49" s="14" t="s">
        <v>145</v>
      </c>
      <c r="AB49" s="20">
        <v>0</v>
      </c>
      <c r="AC49" s="20">
        <v>1.9</v>
      </c>
      <c r="AD49" s="14" t="s">
        <v>97</v>
      </c>
      <c r="AE49" s="14" t="s">
        <v>107</v>
      </c>
    </row>
    <row r="50" spans="3:31" x14ac:dyDescent="0.4">
      <c r="C50" s="55" t="str">
        <f t="shared" si="0"/>
        <v/>
      </c>
      <c r="D50" s="151"/>
      <c r="E50" s="112" t="str">
        <f t="shared" ref="E50:E64" si="8">IF(E49 = "Select", "", E49)</f>
        <v/>
      </c>
      <c r="F50" s="206" t="s">
        <v>112</v>
      </c>
      <c r="G50" s="115" t="s">
        <v>156</v>
      </c>
      <c r="H50" s="206" t="str">
        <f t="shared" si="6"/>
        <v>20m inside boundary</v>
      </c>
      <c r="I50" s="206"/>
      <c r="J50" s="206"/>
      <c r="K50" s="168"/>
      <c r="AA50" s="14" t="s">
        <v>146</v>
      </c>
      <c r="AB50" s="20">
        <v>0.67000009999999999</v>
      </c>
      <c r="AC50" s="20">
        <v>10000000</v>
      </c>
      <c r="AD50" s="14" t="s">
        <v>94</v>
      </c>
      <c r="AE50" s="14" t="s">
        <v>137</v>
      </c>
    </row>
    <row r="51" spans="3:31" x14ac:dyDescent="0.4">
      <c r="C51" s="55" t="str">
        <f t="shared" si="0"/>
        <v/>
      </c>
      <c r="D51" s="151"/>
      <c r="E51" s="112" t="str">
        <f t="shared" si="8"/>
        <v/>
      </c>
      <c r="F51" s="29" t="s">
        <v>112</v>
      </c>
      <c r="G51" s="55" t="s">
        <v>156</v>
      </c>
      <c r="H51" s="29" t="str">
        <f t="shared" si="6"/>
        <v>10m inside boundary</v>
      </c>
      <c r="I51" s="29"/>
      <c r="J51" s="29"/>
      <c r="K51" s="169"/>
      <c r="AA51" s="14" t="s">
        <v>146</v>
      </c>
      <c r="AB51" s="20">
        <v>0.5</v>
      </c>
      <c r="AC51" s="20">
        <v>0.67000009999999999</v>
      </c>
      <c r="AD51" s="14" t="s">
        <v>101</v>
      </c>
    </row>
    <row r="52" spans="3:31" x14ac:dyDescent="0.4">
      <c r="C52" s="55" t="str">
        <f t="shared" si="0"/>
        <v/>
      </c>
      <c r="D52" s="151"/>
      <c r="E52" s="112" t="str">
        <f t="shared" si="8"/>
        <v/>
      </c>
      <c r="F52" s="29" t="s">
        <v>112</v>
      </c>
      <c r="G52" s="55" t="s">
        <v>160</v>
      </c>
      <c r="H52" s="29" t="str">
        <f t="shared" si="6"/>
        <v>0m on boundary</v>
      </c>
      <c r="I52" s="29"/>
      <c r="J52" s="29"/>
      <c r="K52" s="169"/>
      <c r="AA52" s="14" t="s">
        <v>146</v>
      </c>
      <c r="AB52" s="20">
        <v>0.42</v>
      </c>
      <c r="AC52" s="20">
        <v>0.5</v>
      </c>
      <c r="AD52" s="14" t="s">
        <v>104</v>
      </c>
    </row>
    <row r="53" spans="3:31" x14ac:dyDescent="0.4">
      <c r="C53" s="55" t="str">
        <f t="shared" si="0"/>
        <v/>
      </c>
      <c r="D53" s="151"/>
      <c r="E53" s="112" t="str">
        <f t="shared" si="8"/>
        <v/>
      </c>
      <c r="F53" s="29" t="s">
        <v>112</v>
      </c>
      <c r="G53" s="55" t="s">
        <v>157</v>
      </c>
      <c r="H53" s="29" t="str">
        <f t="shared" si="6"/>
        <v>10m outside boundary</v>
      </c>
      <c r="I53" s="29"/>
      <c r="J53" s="29"/>
      <c r="K53" s="169"/>
      <c r="AA53" s="14" t="s">
        <v>146</v>
      </c>
      <c r="AB53" s="20">
        <v>0.33</v>
      </c>
      <c r="AC53" s="20">
        <v>0.42</v>
      </c>
      <c r="AD53" s="14" t="s">
        <v>96</v>
      </c>
    </row>
    <row r="54" spans="3:31" x14ac:dyDescent="0.4">
      <c r="C54" s="55" t="str">
        <f t="shared" si="0"/>
        <v/>
      </c>
      <c r="D54" s="151"/>
      <c r="E54" s="112" t="str">
        <f t="shared" si="8"/>
        <v/>
      </c>
      <c r="F54" s="207" t="s">
        <v>112</v>
      </c>
      <c r="G54" s="118" t="s">
        <v>157</v>
      </c>
      <c r="H54" s="207" t="str">
        <f t="shared" si="6"/>
        <v>20m outside boundary</v>
      </c>
      <c r="I54" s="207"/>
      <c r="J54" s="207"/>
      <c r="K54" s="170"/>
      <c r="AA54" s="14" t="s">
        <v>146</v>
      </c>
      <c r="AB54" s="20">
        <v>0</v>
      </c>
      <c r="AC54" s="20">
        <v>0.33</v>
      </c>
      <c r="AD54" s="14" t="s">
        <v>97</v>
      </c>
      <c r="AE54" s="14" t="s">
        <v>107</v>
      </c>
    </row>
    <row r="55" spans="3:31" x14ac:dyDescent="0.4">
      <c r="C55" s="55" t="str">
        <f t="shared" si="0"/>
        <v/>
      </c>
      <c r="D55" s="151"/>
      <c r="E55" s="112" t="str">
        <f t="shared" si="8"/>
        <v/>
      </c>
      <c r="F55" s="206" t="s">
        <v>113</v>
      </c>
      <c r="G55" s="115" t="s">
        <v>156</v>
      </c>
      <c r="H55" s="206" t="str">
        <f t="shared" si="6"/>
        <v>20m inside boundary</v>
      </c>
      <c r="I55" s="206"/>
      <c r="J55" s="206"/>
      <c r="K55" s="168"/>
      <c r="AA55" s="14" t="s">
        <v>147</v>
      </c>
      <c r="AB55" s="20">
        <v>0.86000010000000005</v>
      </c>
      <c r="AC55" s="20">
        <v>10000000</v>
      </c>
      <c r="AD55" s="14" t="s">
        <v>94</v>
      </c>
      <c r="AE55" s="14" t="s">
        <v>137</v>
      </c>
    </row>
    <row r="56" spans="3:31" x14ac:dyDescent="0.4">
      <c r="C56" s="55" t="str">
        <f t="shared" si="0"/>
        <v/>
      </c>
      <c r="D56" s="151"/>
      <c r="E56" s="112" t="str">
        <f t="shared" si="8"/>
        <v/>
      </c>
      <c r="F56" s="29" t="s">
        <v>113</v>
      </c>
      <c r="G56" s="55" t="s">
        <v>156</v>
      </c>
      <c r="H56" s="29" t="str">
        <f t="shared" si="6"/>
        <v>10m inside boundary</v>
      </c>
      <c r="I56" s="29"/>
      <c r="J56" s="29"/>
      <c r="K56" s="169"/>
      <c r="AA56" s="14" t="s">
        <v>147</v>
      </c>
      <c r="AB56" s="20">
        <v>0.68</v>
      </c>
      <c r="AC56" s="20">
        <v>0.86000010000000005</v>
      </c>
      <c r="AD56" s="14" t="s">
        <v>101</v>
      </c>
    </row>
    <row r="57" spans="3:31" x14ac:dyDescent="0.4">
      <c r="C57" s="55" t="str">
        <f t="shared" si="0"/>
        <v/>
      </c>
      <c r="D57" s="151"/>
      <c r="E57" s="112" t="str">
        <f t="shared" si="8"/>
        <v/>
      </c>
      <c r="F57" s="29" t="s">
        <v>113</v>
      </c>
      <c r="G57" s="55" t="s">
        <v>160</v>
      </c>
      <c r="H57" s="29" t="str">
        <f t="shared" si="6"/>
        <v>0m on boundary</v>
      </c>
      <c r="I57" s="29"/>
      <c r="J57" s="29"/>
      <c r="K57" s="169"/>
      <c r="AA57" s="14" t="s">
        <v>147</v>
      </c>
      <c r="AB57" s="20">
        <v>0.43</v>
      </c>
      <c r="AC57" s="20">
        <v>0.68</v>
      </c>
      <c r="AD57" s="14" t="s">
        <v>104</v>
      </c>
    </row>
    <row r="58" spans="3:31" x14ac:dyDescent="0.4">
      <c r="C58" s="55" t="str">
        <f t="shared" si="0"/>
        <v/>
      </c>
      <c r="D58" s="151"/>
      <c r="E58" s="112" t="str">
        <f t="shared" si="8"/>
        <v/>
      </c>
      <c r="F58" s="29" t="s">
        <v>113</v>
      </c>
      <c r="G58" s="55" t="s">
        <v>157</v>
      </c>
      <c r="H58" s="29" t="str">
        <f t="shared" si="6"/>
        <v>10m outside boundary</v>
      </c>
      <c r="I58" s="29"/>
      <c r="J58" s="29"/>
      <c r="K58" s="169"/>
      <c r="AA58" s="14" t="s">
        <v>147</v>
      </c>
      <c r="AB58" s="20">
        <v>0.2</v>
      </c>
      <c r="AC58" s="20">
        <v>0.43</v>
      </c>
      <c r="AD58" s="14" t="s">
        <v>96</v>
      </c>
    </row>
    <row r="59" spans="3:31" x14ac:dyDescent="0.4">
      <c r="C59" s="55" t="str">
        <f t="shared" si="0"/>
        <v/>
      </c>
      <c r="D59" s="151"/>
      <c r="E59" s="112" t="str">
        <f t="shared" si="8"/>
        <v/>
      </c>
      <c r="F59" s="207" t="s">
        <v>113</v>
      </c>
      <c r="G59" s="118" t="s">
        <v>157</v>
      </c>
      <c r="H59" s="207" t="str">
        <f t="shared" si="6"/>
        <v>20m outside boundary</v>
      </c>
      <c r="I59" s="207"/>
      <c r="J59" s="207"/>
      <c r="K59" s="170"/>
      <c r="AA59" s="14" t="s">
        <v>147</v>
      </c>
      <c r="AB59" s="20">
        <v>0</v>
      </c>
      <c r="AC59" s="20">
        <v>0.2</v>
      </c>
      <c r="AD59" s="14" t="s">
        <v>97</v>
      </c>
      <c r="AE59" s="14" t="s">
        <v>107</v>
      </c>
    </row>
    <row r="60" spans="3:31" x14ac:dyDescent="0.4">
      <c r="C60" s="55" t="str">
        <f t="shared" si="0"/>
        <v/>
      </c>
      <c r="D60" s="151"/>
      <c r="E60" s="112" t="str">
        <f t="shared" si="8"/>
        <v/>
      </c>
      <c r="F60" s="206" t="s">
        <v>118</v>
      </c>
      <c r="G60" s="115" t="s">
        <v>156</v>
      </c>
      <c r="H60" s="206" t="str">
        <f t="shared" si="6"/>
        <v>20m inside boundary</v>
      </c>
      <c r="I60" s="206"/>
      <c r="J60" s="206"/>
      <c r="K60" s="168"/>
      <c r="AA60" s="14" t="s">
        <v>149</v>
      </c>
      <c r="AB60" s="20">
        <v>27.400001</v>
      </c>
      <c r="AC60" s="20">
        <v>10000000</v>
      </c>
      <c r="AD60" s="14" t="s">
        <v>94</v>
      </c>
      <c r="AE60" s="14" t="s">
        <v>137</v>
      </c>
    </row>
    <row r="61" spans="3:31" x14ac:dyDescent="0.4">
      <c r="C61" s="55" t="str">
        <f t="shared" si="0"/>
        <v/>
      </c>
      <c r="D61" s="151"/>
      <c r="E61" s="112" t="str">
        <f t="shared" si="8"/>
        <v/>
      </c>
      <c r="F61" s="29" t="s">
        <v>118</v>
      </c>
      <c r="G61" s="55" t="s">
        <v>156</v>
      </c>
      <c r="H61" s="29" t="str">
        <f t="shared" si="6"/>
        <v>10m inside boundary</v>
      </c>
      <c r="I61" s="29"/>
      <c r="J61" s="29"/>
      <c r="K61" s="169"/>
      <c r="AA61" s="14" t="s">
        <v>149</v>
      </c>
      <c r="AB61" s="20">
        <v>23.1</v>
      </c>
      <c r="AC61" s="20">
        <v>27.400001</v>
      </c>
      <c r="AD61" s="14" t="s">
        <v>101</v>
      </c>
    </row>
    <row r="62" spans="3:31" x14ac:dyDescent="0.4">
      <c r="C62" s="55" t="str">
        <f t="shared" si="0"/>
        <v/>
      </c>
      <c r="D62" s="151"/>
      <c r="E62" s="112" t="str">
        <f t="shared" si="8"/>
        <v/>
      </c>
      <c r="F62" s="29" t="s">
        <v>118</v>
      </c>
      <c r="G62" s="55" t="s">
        <v>160</v>
      </c>
      <c r="H62" s="29" t="str">
        <f t="shared" si="6"/>
        <v>0m on boundary</v>
      </c>
      <c r="I62" s="29"/>
      <c r="J62" s="29"/>
      <c r="K62" s="169"/>
      <c r="AA62" s="14" t="s">
        <v>149</v>
      </c>
      <c r="AB62" s="20">
        <v>18.8</v>
      </c>
      <c r="AC62" s="20">
        <v>23.1</v>
      </c>
      <c r="AD62" s="14" t="s">
        <v>104</v>
      </c>
    </row>
    <row r="63" spans="3:31" x14ac:dyDescent="0.4">
      <c r="C63" s="55" t="str">
        <f t="shared" ref="C63:C64" si="9">C$5</f>
        <v/>
      </c>
      <c r="D63" s="151"/>
      <c r="E63" s="112" t="str">
        <f t="shared" si="8"/>
        <v/>
      </c>
      <c r="F63" s="29" t="s">
        <v>118</v>
      </c>
      <c r="G63" s="55" t="s">
        <v>157</v>
      </c>
      <c r="H63" s="29" t="str">
        <f t="shared" si="6"/>
        <v>10m outside boundary</v>
      </c>
      <c r="I63" s="29"/>
      <c r="J63" s="29"/>
      <c r="K63" s="169"/>
      <c r="AA63" s="14" t="s">
        <v>149</v>
      </c>
      <c r="AB63" s="20">
        <v>10.4</v>
      </c>
      <c r="AC63" s="20">
        <v>18.8</v>
      </c>
      <c r="AD63" s="14" t="s">
        <v>96</v>
      </c>
    </row>
    <row r="64" spans="3:31" x14ac:dyDescent="0.4">
      <c r="C64" s="55" t="str">
        <f t="shared" si="9"/>
        <v/>
      </c>
      <c r="D64" s="151"/>
      <c r="E64" s="113" t="str">
        <f t="shared" si="8"/>
        <v/>
      </c>
      <c r="F64" s="207" t="s">
        <v>118</v>
      </c>
      <c r="G64" s="118" t="s">
        <v>157</v>
      </c>
      <c r="H64" s="207" t="str">
        <f t="shared" si="6"/>
        <v>20m outside boundary</v>
      </c>
      <c r="I64" s="207"/>
      <c r="J64" s="207"/>
      <c r="K64" s="170"/>
      <c r="AA64" s="14" t="s">
        <v>149</v>
      </c>
      <c r="AB64" s="20">
        <v>0</v>
      </c>
      <c r="AC64" s="20">
        <v>10.4</v>
      </c>
      <c r="AD64" s="14" t="s">
        <v>97</v>
      </c>
      <c r="AE64" s="14" t="s">
        <v>107</v>
      </c>
    </row>
    <row r="65" spans="3:31" x14ac:dyDescent="0.4">
      <c r="AA65" s="14" t="s">
        <v>150</v>
      </c>
      <c r="AB65" s="20">
        <v>9.6000010000000007</v>
      </c>
      <c r="AC65" s="20">
        <v>10000000</v>
      </c>
      <c r="AD65" s="14" t="s">
        <v>94</v>
      </c>
      <c r="AE65" s="14" t="s">
        <v>137</v>
      </c>
    </row>
    <row r="66" spans="3:31" x14ac:dyDescent="0.4">
      <c r="D66" s="17" t="s">
        <v>1910</v>
      </c>
      <c r="AA66" s="14" t="s">
        <v>150</v>
      </c>
      <c r="AB66" s="20">
        <v>7.5</v>
      </c>
      <c r="AC66" s="20">
        <v>9.6000010000000007</v>
      </c>
      <c r="AD66" s="14" t="s">
        <v>101</v>
      </c>
    </row>
    <row r="67" spans="3:31" hidden="1" x14ac:dyDescent="0.4">
      <c r="C67" s="61">
        <v>6.11</v>
      </c>
      <c r="D67" s="61">
        <v>6.12</v>
      </c>
      <c r="E67" s="61">
        <v>6.13</v>
      </c>
      <c r="F67" s="61">
        <v>6.14</v>
      </c>
      <c r="G67" s="61">
        <v>6.15</v>
      </c>
      <c r="H67" s="61">
        <v>6.16</v>
      </c>
      <c r="AA67" s="14" t="s">
        <v>150</v>
      </c>
      <c r="AB67" s="20">
        <v>6.2</v>
      </c>
      <c r="AC67" s="20">
        <v>7.5</v>
      </c>
      <c r="AD67" s="14" t="s">
        <v>104</v>
      </c>
    </row>
    <row r="68" spans="3:31" ht="33.6" x14ac:dyDescent="0.4">
      <c r="C68" s="58" t="s">
        <v>40</v>
      </c>
      <c r="D68" s="58" t="s">
        <v>111</v>
      </c>
      <c r="E68" s="58" t="s">
        <v>76</v>
      </c>
      <c r="F68" s="58" t="s">
        <v>120</v>
      </c>
      <c r="G68" s="58" t="s">
        <v>121</v>
      </c>
      <c r="H68" s="58" t="s">
        <v>122</v>
      </c>
      <c r="AA68" s="14" t="s">
        <v>150</v>
      </c>
      <c r="AB68" s="20">
        <v>4.5</v>
      </c>
      <c r="AC68" s="20">
        <v>6.2</v>
      </c>
      <c r="AD68" s="14" t="s">
        <v>96</v>
      </c>
    </row>
    <row r="69" spans="3:31" x14ac:dyDescent="0.4">
      <c r="C69" s="66" t="str">
        <f>C5</f>
        <v/>
      </c>
      <c r="D69" s="66" t="str">
        <f>E6</f>
        <v/>
      </c>
      <c r="E69" s="66" t="str">
        <f>G5</f>
        <v>Inside site boundary</v>
      </c>
      <c r="F69" s="75" t="str">
        <f>IFERROR(AVERAGE(I5:J6,I10:J11,I15:J16,I20:J21),"")</f>
        <v/>
      </c>
      <c r="G69" s="55" t="str" cm="1">
        <f t="array" ref="G69">IFERROR(INDEX(Table995[EQS category ref], MATCH(1, (Table5691[[#This Row],[Abiotic indicator]]=Table995[Biotic index ref])*(F69&gt;=Table995[Equal or larger than])*(F69&lt;Table995[smaller than]),0)),"")</f>
        <v/>
      </c>
      <c r="H69" s="108" t="str" cm="1">
        <f t="array" ref="H69">IFERROR(_xlfn.IFS(Table5691[[#This Row],[EQS category]]="Bad",5, Table5691[[#This Row],[EQS category]]="Poor",4, Table5691[[#This Row],[EQS category]]="Moderate",3, Table5691[[#This Row],[EQS category]]="Good",2, Table5691[[#This Row],[EQS category]]="High",1),"")</f>
        <v/>
      </c>
      <c r="AA69" s="14" t="s">
        <v>150</v>
      </c>
      <c r="AB69" s="20">
        <v>0</v>
      </c>
      <c r="AC69" s="20">
        <v>4.5</v>
      </c>
      <c r="AD69" s="14" t="s">
        <v>97</v>
      </c>
      <c r="AE69" s="14" t="s">
        <v>107</v>
      </c>
    </row>
    <row r="70" spans="3:31" x14ac:dyDescent="0.4">
      <c r="C70" s="66" t="str">
        <f>C25</f>
        <v/>
      </c>
      <c r="D70" s="66" t="str">
        <f>E26</f>
        <v/>
      </c>
      <c r="E70" s="66" t="str">
        <f>G25</f>
        <v>Inside site boundary</v>
      </c>
      <c r="F70" s="75" t="str">
        <f>IFERROR(AVERAGE(I25:J26,I30:J31,I35:J36,I40:J41),"")</f>
        <v/>
      </c>
      <c r="G70" s="55" t="str" cm="1">
        <f t="array" ref="G70">IFERROR(INDEX(Table995[EQS category ref], MATCH(1, (Table5691[[#This Row],[Abiotic indicator]]=Table995[Biotic index ref])*(F70&gt;=Table995[Equal or larger than])*(F70&lt;Table995[smaller than]),0)),"")</f>
        <v/>
      </c>
      <c r="H70" s="108" t="str" cm="1">
        <f t="array" ref="H70">IFERROR(_xlfn.IFS(Table5691[[#This Row],[EQS category]]="Bad",5, Table5691[[#This Row],[EQS category]]="Poor",4, Table5691[[#This Row],[EQS category]]="Moderate",3, Table5691[[#This Row],[EQS category]]="Good",2, Table5691[[#This Row],[EQS category]]="High",1),"")</f>
        <v/>
      </c>
      <c r="AA70" s="14" t="s">
        <v>151</v>
      </c>
      <c r="AB70" s="20">
        <v>0</v>
      </c>
      <c r="AC70" s="20">
        <v>2</v>
      </c>
      <c r="AD70" s="14" t="s">
        <v>94</v>
      </c>
    </row>
    <row r="71" spans="3:31" x14ac:dyDescent="0.4">
      <c r="C71" s="66" t="str">
        <f>C45</f>
        <v/>
      </c>
      <c r="D71" s="66" t="str">
        <f>E46</f>
        <v/>
      </c>
      <c r="E71" s="66" t="str">
        <f>G45</f>
        <v>Inside site boundary</v>
      </c>
      <c r="F71" s="75" t="str">
        <f>IFERROR(AVERAGE(I45:J46,I50:J51,I55:J56,I60:J61),"")</f>
        <v/>
      </c>
      <c r="G71" s="55" t="str" cm="1">
        <f t="array" ref="G71">IFERROR(INDEX(Table995[EQS category ref], MATCH(1, (Table5691[[#This Row],[Abiotic indicator]]=Table995[Biotic index ref])*(F71&gt;=Table995[Equal or larger than])*(F71&lt;Table995[smaller than]),0)),"")</f>
        <v/>
      </c>
      <c r="H71" s="108" t="str" cm="1">
        <f t="array" ref="H71">IFERROR(_xlfn.IFS(Table5691[[#This Row],[EQS category]]="Bad",5, Table5691[[#This Row],[EQS category]]="Poor",4, Table5691[[#This Row],[EQS category]]="Moderate",3, Table5691[[#This Row],[EQS category]]="Good",2, Table5691[[#This Row],[EQS category]]="High",1),"")</f>
        <v/>
      </c>
      <c r="AA71" s="14" t="s">
        <v>151</v>
      </c>
      <c r="AB71" s="20">
        <v>2</v>
      </c>
      <c r="AC71" s="20">
        <v>3</v>
      </c>
      <c r="AD71" s="14" t="s">
        <v>101</v>
      </c>
    </row>
    <row r="72" spans="3:31" x14ac:dyDescent="0.4">
      <c r="C72" s="66" t="str">
        <f>C7</f>
        <v/>
      </c>
      <c r="D72" s="66" t="str">
        <f>E7</f>
        <v/>
      </c>
      <c r="E72" s="66" t="str">
        <f>G7</f>
        <v>On site boundary</v>
      </c>
      <c r="F72" s="75" t="str">
        <f>IFERROR(AVERAGE(I7:J7,I12:J12,I17:J17,I22:J22),"")</f>
        <v/>
      </c>
      <c r="G72" s="55" t="str" cm="1">
        <f t="array" ref="G72">IFERROR(INDEX(Table995[EQS category ref], MATCH(1, (Table5691[[#This Row],[Abiotic indicator]]=Table995[Biotic index ref])*(F72&gt;=Table995[Equal or larger than])*(F72&lt;Table995[smaller than]),0)),"")</f>
        <v/>
      </c>
      <c r="H72" s="108" t="str" cm="1">
        <f t="array" ref="H72">IFERROR(_xlfn.IFS(Table5691[[#This Row],[EQS category]]="Bad",5, Table5691[[#This Row],[EQS category]]="Poor",4, Table5691[[#This Row],[EQS category]]="Moderate",3, Table5691[[#This Row],[EQS category]]="Good",2, Table5691[[#This Row],[EQS category]]="High",1),"")</f>
        <v/>
      </c>
      <c r="AA72" s="14" t="s">
        <v>151</v>
      </c>
      <c r="AB72" s="20">
        <v>3</v>
      </c>
      <c r="AC72" s="20">
        <v>4</v>
      </c>
      <c r="AD72" s="14" t="s">
        <v>104</v>
      </c>
    </row>
    <row r="73" spans="3:31" x14ac:dyDescent="0.4">
      <c r="C73" s="66" t="str">
        <f>C27</f>
        <v/>
      </c>
      <c r="D73" s="66" t="str">
        <f>E27</f>
        <v/>
      </c>
      <c r="E73" s="66" t="str">
        <f>G27</f>
        <v>On site boundary</v>
      </c>
      <c r="F73" s="75" t="str">
        <f>IFERROR(AVERAGE(I27:J27,I32:J32,I37:J37,I42:J42),"")</f>
        <v/>
      </c>
      <c r="G73" s="55" t="str" cm="1">
        <f t="array" ref="G73">IFERROR(INDEX(Table995[EQS category ref], MATCH(1, (Table5691[[#This Row],[Abiotic indicator]]=Table995[Biotic index ref])*(F73&gt;=Table995[Equal or larger than])*(F73&lt;Table995[smaller than]),0)),"")</f>
        <v/>
      </c>
      <c r="H73" s="108" t="str" cm="1">
        <f t="array" ref="H73">IFERROR(_xlfn.IFS(Table5691[[#This Row],[EQS category]]="Bad",5, Table5691[[#This Row],[EQS category]]="Poor",4, Table5691[[#This Row],[EQS category]]="Moderate",3, Table5691[[#This Row],[EQS category]]="Good",2, Table5691[[#This Row],[EQS category]]="High",1),"")</f>
        <v/>
      </c>
      <c r="AA73" s="14" t="s">
        <v>151</v>
      </c>
      <c r="AB73" s="20">
        <v>4</v>
      </c>
      <c r="AC73" s="20">
        <v>6</v>
      </c>
      <c r="AD73" s="14" t="s">
        <v>96</v>
      </c>
    </row>
    <row r="74" spans="3:31" x14ac:dyDescent="0.4">
      <c r="C74" s="66" t="str">
        <f>C47</f>
        <v/>
      </c>
      <c r="D74" s="66" t="str">
        <f>E47</f>
        <v/>
      </c>
      <c r="E74" s="66" t="str">
        <f>G47</f>
        <v>On site boundary</v>
      </c>
      <c r="F74" s="75" t="str">
        <f>IFERROR(AVERAGE(I47:J47,I52:J52,I57:J57,I62:J62),"")</f>
        <v/>
      </c>
      <c r="G74" s="55" t="str" cm="1">
        <f t="array" ref="G74">IFERROR(INDEX(Table995[EQS category ref], MATCH(1, (Table5691[[#This Row],[Abiotic indicator]]=Table995[Biotic index ref])*(F74&gt;=Table995[Equal or larger than])*(F74&lt;Table995[smaller than]),0)),"")</f>
        <v/>
      </c>
      <c r="H74" s="108" t="str" cm="1">
        <f t="array" ref="H74">IFERROR(_xlfn.IFS(Table5691[[#This Row],[EQS category]]="Bad",5, Table5691[[#This Row],[EQS category]]="Poor",4, Table5691[[#This Row],[EQS category]]="Moderate",3, Table5691[[#This Row],[EQS category]]="Good",2, Table5691[[#This Row],[EQS category]]="High",1),"")</f>
        <v/>
      </c>
      <c r="AA74" s="14" t="s">
        <v>151</v>
      </c>
      <c r="AB74" s="20">
        <v>6</v>
      </c>
      <c r="AC74" s="20">
        <v>1000</v>
      </c>
      <c r="AD74" s="14" t="s">
        <v>97</v>
      </c>
      <c r="AE74" s="14" t="s">
        <v>137</v>
      </c>
    </row>
    <row r="75" spans="3:31" x14ac:dyDescent="0.4">
      <c r="C75" s="66" t="str">
        <f>C8</f>
        <v/>
      </c>
      <c r="D75" s="66" t="str">
        <f>E8</f>
        <v/>
      </c>
      <c r="E75" s="66" t="str">
        <f>G8</f>
        <v>Outside site boundary</v>
      </c>
      <c r="F75" s="75" t="str">
        <f>IFERROR(AVERAGE(I8:J9,I13:J14,I18:J19,I23:J24),"")</f>
        <v/>
      </c>
      <c r="G75" s="55" t="str" cm="1">
        <f t="array" ref="G75">IFERROR(INDEX(Table995[EQS category ref], MATCH(1, (Table5691[[#This Row],[Abiotic indicator]]=Table995[Biotic index ref])*(F75&gt;=Table995[Equal or larger than])*(F75&lt;Table995[smaller than]),0)),"")</f>
        <v/>
      </c>
      <c r="H75" s="108" t="str" cm="1">
        <f t="array" ref="H75">IFERROR(_xlfn.IFS(Table5691[[#This Row],[EQS category]]="Bad",5, Table5691[[#This Row],[EQS category]]="Poor",4, Table5691[[#This Row],[EQS category]]="Moderate",3, Table5691[[#This Row],[EQS category]]="Good",2, Table5691[[#This Row],[EQS category]]="High",1),"")</f>
        <v/>
      </c>
    </row>
    <row r="76" spans="3:31" x14ac:dyDescent="0.4">
      <c r="C76" s="66" t="str">
        <f>C29</f>
        <v/>
      </c>
      <c r="D76" s="66" t="str">
        <f>E29</f>
        <v/>
      </c>
      <c r="E76" s="66" t="str">
        <f>G28</f>
        <v>Outside site boundary</v>
      </c>
      <c r="F76" s="75" t="str">
        <f>IFERROR(AVERAGE(I28:J29,I33:J34,I38:J39,I43:J44),"")</f>
        <v/>
      </c>
      <c r="G76" s="55" t="str" cm="1">
        <f t="array" ref="G76">IFERROR(INDEX(Table995[EQS category ref], MATCH(1, (Table5691[[#This Row],[Abiotic indicator]]=Table995[Biotic index ref])*(F76&gt;=Table995[Equal or larger than])*(F76&lt;Table995[smaller than]),0)),"")</f>
        <v/>
      </c>
      <c r="H76" s="108" t="str" cm="1">
        <f t="array" ref="H76">IFERROR(_xlfn.IFS(Table5691[[#This Row],[EQS category]]="Bad",5, Table5691[[#This Row],[EQS category]]="Poor",4, Table5691[[#This Row],[EQS category]]="Moderate",3, Table5691[[#This Row],[EQS category]]="Good",2, Table5691[[#This Row],[EQS category]]="High",1),"")</f>
        <v/>
      </c>
      <c r="AA76" s="17" t="s">
        <v>114</v>
      </c>
    </row>
    <row r="77" spans="3:31" x14ac:dyDescent="0.4">
      <c r="C77" s="66" t="str">
        <f>C48</f>
        <v/>
      </c>
      <c r="D77" s="66" t="str">
        <f>E48</f>
        <v/>
      </c>
      <c r="E77" s="66" t="str">
        <f>G48</f>
        <v>Outside site boundary</v>
      </c>
      <c r="F77" s="75" t="str">
        <f>IFERROR(AVERAGE(I48:J49,I53:J54,I58:J59,I63:J64),"")</f>
        <v/>
      </c>
      <c r="G77" s="55" t="str" cm="1">
        <f t="array" ref="G77">IFERROR(INDEX(Table995[EQS category ref], MATCH(1, (Table5691[[#This Row],[Abiotic indicator]]=Table995[Biotic index ref])*(F77&gt;=Table995[Equal or larger than])*(F77&lt;Table995[smaller than]),0)),"")</f>
        <v/>
      </c>
      <c r="H77" s="108" t="str" cm="1">
        <f t="array" ref="H77">IFERROR(_xlfn.IFS(Table5691[[#This Row],[EQS category]]="Bad",5, Table5691[[#This Row],[EQS category]]="Poor",4, Table5691[[#This Row],[EQS category]]="Moderate",3, Table5691[[#This Row],[EQS category]]="Good",2, Table5691[[#This Row],[EQS category]]="High",1),"")</f>
        <v/>
      </c>
    </row>
    <row r="78" spans="3:31" x14ac:dyDescent="0.4">
      <c r="AA78" s="14" t="s">
        <v>83</v>
      </c>
      <c r="AB78" s="81" t="s">
        <v>115</v>
      </c>
      <c r="AC78" s="14" t="s">
        <v>116</v>
      </c>
      <c r="AD78" s="14" t="s">
        <v>117</v>
      </c>
      <c r="AE78" s="14" t="s">
        <v>52</v>
      </c>
    </row>
    <row r="79" spans="3:31" x14ac:dyDescent="0.4">
      <c r="D79" s="17" t="s">
        <v>1911</v>
      </c>
      <c r="AA79" s="14" t="s">
        <v>97</v>
      </c>
      <c r="AB79" s="14">
        <v>4.0000099999999996</v>
      </c>
      <c r="AC79" s="14">
        <v>6</v>
      </c>
      <c r="AD79" s="39">
        <v>5</v>
      </c>
      <c r="AE79" s="14" t="s">
        <v>95</v>
      </c>
    </row>
    <row r="80" spans="3:31" hidden="1" x14ac:dyDescent="0.4">
      <c r="C80" s="61">
        <v>6.17</v>
      </c>
      <c r="D80" s="61">
        <v>6.18</v>
      </c>
      <c r="E80" s="61">
        <v>6.19</v>
      </c>
      <c r="F80" s="61">
        <v>6.21</v>
      </c>
      <c r="AA80" s="14" t="s">
        <v>96</v>
      </c>
      <c r="AB80" s="14">
        <v>3.1</v>
      </c>
      <c r="AC80" s="14">
        <v>4.0000099999999996</v>
      </c>
      <c r="AD80" s="39">
        <v>4</v>
      </c>
    </row>
    <row r="81" spans="3:31" ht="17.399999999999999" thickBot="1" x14ac:dyDescent="0.45">
      <c r="C81" s="63" t="s">
        <v>124</v>
      </c>
      <c r="D81" s="63" t="s">
        <v>76</v>
      </c>
      <c r="E81" s="78" t="s">
        <v>125</v>
      </c>
      <c r="F81" s="78" t="s">
        <v>126</v>
      </c>
      <c r="AA81" s="14" t="s">
        <v>104</v>
      </c>
      <c r="AB81" s="14">
        <v>2.1</v>
      </c>
      <c r="AC81" s="14">
        <v>3.09999</v>
      </c>
      <c r="AD81" s="39">
        <v>3</v>
      </c>
    </row>
    <row r="82" spans="3:31" ht="17.399999999999999" thickTop="1" x14ac:dyDescent="0.4">
      <c r="C82" s="66" t="str">
        <f>C69</f>
        <v/>
      </c>
      <c r="D82" s="93" t="str">
        <f>E69</f>
        <v>Inside site boundary</v>
      </c>
      <c r="E82" s="75" t="str">
        <f>IFERROR((H69+H70+H71)/3,"")</f>
        <v/>
      </c>
      <c r="F82" s="103" t="str" cm="1">
        <f t="array" ref="F82">IFERROR(INDEX(Table201518[EQS category ref], MATCH(1,(Table5792[[#This Row],[Zone EQS score]]&gt;Table201518[Larger than])*(Table5792[[#This Row],[Zone EQS score]]&lt;=Table201518[Equal or smaller than]),0)),"")</f>
        <v/>
      </c>
      <c r="AA82" s="14" t="s">
        <v>101</v>
      </c>
      <c r="AB82" s="14">
        <v>1.1000000000000001</v>
      </c>
      <c r="AC82" s="14">
        <v>2.09999</v>
      </c>
      <c r="AD82" s="39">
        <v>2</v>
      </c>
    </row>
    <row r="83" spans="3:31" x14ac:dyDescent="0.4">
      <c r="C83" s="93" t="str">
        <f>C70</f>
        <v/>
      </c>
      <c r="D83" s="93" t="str">
        <f>E72</f>
        <v>On site boundary</v>
      </c>
      <c r="E83" s="75" t="str">
        <f>IFERROR((H72+H73+H74)/3,"")</f>
        <v/>
      </c>
      <c r="F83" s="103" t="str" cm="1">
        <f t="array" ref="F83">IFERROR(INDEX(Table201518[EQS category ref], MATCH(1,(Table5792[[#This Row],[Zone EQS score]]&gt;Table201518[Larger than])*(Table5792[[#This Row],[Zone EQS score]]&lt;=Table201518[Equal or smaller than]),0)),"")</f>
        <v/>
      </c>
      <c r="AA83" s="14" t="s">
        <v>94</v>
      </c>
      <c r="AB83" s="14">
        <v>0</v>
      </c>
      <c r="AC83" s="14">
        <v>1.09999</v>
      </c>
      <c r="AD83" s="39">
        <v>1</v>
      </c>
      <c r="AE83" s="14" t="s">
        <v>119</v>
      </c>
    </row>
    <row r="84" spans="3:31" x14ac:dyDescent="0.4">
      <c r="C84" s="93" t="str">
        <f>C71</f>
        <v/>
      </c>
      <c r="D84" s="93" t="str">
        <f>E75</f>
        <v>Outside site boundary</v>
      </c>
      <c r="E84" s="75" t="str">
        <f>IFERROR((H75+H76+H77)/3,"")</f>
        <v/>
      </c>
      <c r="F84" s="103" t="str" cm="1">
        <f t="array" ref="F84">IFERROR(INDEX(Table201518[EQS category ref], MATCH(1,(Table5792[[#This Row],[Zone EQS score]]&gt;Table201518[Larger than])*(Table5792[[#This Row],[Zone EQS score]]&lt;=Table201518[Equal or smaller than]),0)),"")</f>
        <v/>
      </c>
    </row>
    <row r="86" spans="3:31" x14ac:dyDescent="0.4">
      <c r="D86" s="17" t="s">
        <v>1905</v>
      </c>
    </row>
    <row r="87" spans="3:31" hidden="1" x14ac:dyDescent="0.4">
      <c r="C87" s="61">
        <v>6.22</v>
      </c>
      <c r="D87" s="61">
        <v>6.23</v>
      </c>
    </row>
    <row r="88" spans="3:31" x14ac:dyDescent="0.4">
      <c r="C88" s="63" t="s">
        <v>40</v>
      </c>
      <c r="D88" s="62" t="s">
        <v>165</v>
      </c>
    </row>
    <row r="89" spans="3:31" x14ac:dyDescent="0.4">
      <c r="C89" s="93" t="str">
        <f>C82</f>
        <v/>
      </c>
      <c r="D89" s="55" t="str" cm="1">
        <f t="array" ref="D89">IFERROR(INDEX(Table769097[Benthic status], MATCH(1, (F82=Table769097[Inside site boundary])*(F83=Table769097[Outside site boundary])*(F84=Table769097[Outside site boundary]), 0)),"")</f>
        <v/>
      </c>
    </row>
  </sheetData>
  <sheetProtection algorithmName="SHA-512" hashValue="zp1WI4KSfIx/BIztqsS93vslKFEZH5MFQBuWcOeGdQeGcgu4ra2AwtEqGloc27uU/ieVqY/Oz/AOg69pqVbskw==" saltValue="GdyTpomOIJjHOEYZBOJUlg==" spinCount="100000" sheet="1" objects="1" scenarios="1"/>
  <phoneticPr fontId="6"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tables - Production'!$Z$2:$Z$16</xm:f>
          </x14:formula1>
          <xm:sqref>E45 E5 E25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60FF0F-48C3-4FE7-A69E-350EB44C5B93}">
  <sheetPr codeName="Sheet12">
    <tabColor theme="9" tint="0.59999389629810485"/>
  </sheetPr>
  <dimension ref="A2:BI129"/>
  <sheetViews>
    <sheetView zoomScale="80" zoomScaleNormal="80" workbookViewId="0"/>
  </sheetViews>
  <sheetFormatPr defaultColWidth="9" defaultRowHeight="16.8" x14ac:dyDescent="0.4"/>
  <cols>
    <col min="1" max="1" width="9" style="14"/>
    <col min="2" max="2" width="0" style="14" hidden="1" customWidth="1"/>
    <col min="3" max="3" width="13.77734375" style="14" hidden="1" customWidth="1"/>
    <col min="4" max="4" width="21.21875" style="14" customWidth="1"/>
    <col min="5" max="5" width="20.77734375" style="14" bestFit="1" customWidth="1"/>
    <col min="6" max="7" width="26" style="14" customWidth="1"/>
    <col min="8" max="8" width="23" style="14" customWidth="1"/>
    <col min="9" max="9" width="16.5546875" style="14" customWidth="1"/>
    <col min="10" max="10" width="15.21875" style="14" bestFit="1" customWidth="1"/>
    <col min="11" max="11" width="17.21875" style="14" customWidth="1"/>
    <col min="12" max="12" width="9" style="14"/>
    <col min="13" max="19" width="9" style="14" customWidth="1"/>
    <col min="20" max="20" width="9" style="14"/>
    <col min="21" max="28" width="9" style="14" customWidth="1"/>
    <col min="29" max="40" width="9" style="14" hidden="1" customWidth="1"/>
    <col min="41" max="44" width="9" style="14" customWidth="1"/>
    <col min="45" max="46" width="9" style="14"/>
    <col min="47" max="47" width="9" style="14" customWidth="1"/>
    <col min="48" max="16384" width="9" style="14"/>
  </cols>
  <sheetData>
    <row r="2" spans="1:61" x14ac:dyDescent="0.4">
      <c r="D2" s="17" t="s">
        <v>1906</v>
      </c>
      <c r="G2" s="38"/>
      <c r="T2" s="17"/>
      <c r="Y2" s="19"/>
      <c r="AB2" s="31"/>
      <c r="AC2" s="31"/>
      <c r="AD2" s="31"/>
      <c r="AE2" s="31"/>
      <c r="AF2" s="31"/>
      <c r="AG2" s="31"/>
      <c r="AH2" s="31"/>
      <c r="AI2" s="31"/>
      <c r="AJ2" s="31"/>
      <c r="AK2" s="17" t="s">
        <v>72</v>
      </c>
    </row>
    <row r="3" spans="1:61" hidden="1" x14ac:dyDescent="0.4">
      <c r="C3" s="14">
        <v>7.1</v>
      </c>
      <c r="D3" s="14">
        <v>7.2</v>
      </c>
      <c r="E3" s="14">
        <v>7.3</v>
      </c>
      <c r="F3" s="14">
        <v>7.4</v>
      </c>
      <c r="G3" s="14">
        <v>7.5</v>
      </c>
      <c r="H3" s="14">
        <v>7.6</v>
      </c>
      <c r="I3" s="14">
        <v>7.7</v>
      </c>
      <c r="J3" s="14">
        <v>7.8</v>
      </c>
      <c r="K3" s="14">
        <v>7.9</v>
      </c>
    </row>
    <row r="4" spans="1:61" s="23" customFormat="1" ht="34.200000000000003" customHeight="1" thickBot="1" x14ac:dyDescent="0.45">
      <c r="C4" s="58" t="s">
        <v>40</v>
      </c>
      <c r="D4" s="57" t="s">
        <v>73</v>
      </c>
      <c r="E4" s="106" t="s">
        <v>111</v>
      </c>
      <c r="F4" s="91" t="s">
        <v>75</v>
      </c>
      <c r="G4" s="106" t="s">
        <v>76</v>
      </c>
      <c r="H4" s="91" t="s">
        <v>77</v>
      </c>
      <c r="I4" s="91" t="s">
        <v>78</v>
      </c>
      <c r="J4" s="91" t="s">
        <v>79</v>
      </c>
      <c r="K4" s="105" t="s">
        <v>52</v>
      </c>
      <c r="AC4" s="268" t="s">
        <v>80</v>
      </c>
      <c r="AD4" s="269" t="s">
        <v>76</v>
      </c>
      <c r="AE4" s="269" t="s">
        <v>81</v>
      </c>
      <c r="AF4" s="269" t="s">
        <v>82</v>
      </c>
      <c r="AG4" s="269" t="s">
        <v>83</v>
      </c>
      <c r="AH4" s="269" t="s">
        <v>52</v>
      </c>
      <c r="AI4" s="16"/>
      <c r="AK4" s="270" t="s">
        <v>84</v>
      </c>
      <c r="AL4" s="269" t="s">
        <v>91</v>
      </c>
      <c r="AM4" s="269" t="s">
        <v>99</v>
      </c>
      <c r="AN4" s="269" t="s">
        <v>88</v>
      </c>
      <c r="AO4" s="16"/>
      <c r="AP4" s="16"/>
      <c r="AQ4" s="16"/>
      <c r="AR4" s="16"/>
      <c r="AS4" s="16"/>
      <c r="AT4" s="16"/>
      <c r="AU4" s="16"/>
      <c r="AV4" s="16"/>
      <c r="AW4" s="16"/>
      <c r="AX4" s="16"/>
      <c r="AY4" s="16"/>
      <c r="AZ4" s="16"/>
      <c r="BA4" s="16"/>
      <c r="BB4" s="16"/>
      <c r="BC4" s="16"/>
      <c r="BD4" s="16"/>
      <c r="BE4" s="16"/>
      <c r="BF4" s="16"/>
      <c r="BG4" s="16"/>
      <c r="BH4" s="16"/>
      <c r="BI4" s="16"/>
    </row>
    <row r="5" spans="1:61" ht="17.399999999999999" thickTop="1" x14ac:dyDescent="0.4">
      <c r="A5" s="83"/>
      <c r="C5" s="107">
        <f>'Site and production details'!C5</f>
        <v>0</v>
      </c>
      <c r="D5" s="151"/>
      <c r="E5" s="334" t="s">
        <v>93</v>
      </c>
      <c r="F5" s="220" t="s">
        <v>90</v>
      </c>
      <c r="G5" s="133" t="s">
        <v>91</v>
      </c>
      <c r="H5" s="271" t="s">
        <v>92</v>
      </c>
      <c r="I5" s="220"/>
      <c r="J5" s="220"/>
      <c r="K5" s="221"/>
      <c r="AC5" s="14" t="s">
        <v>93</v>
      </c>
      <c r="AD5" s="14" t="s">
        <v>91</v>
      </c>
      <c r="AE5" s="104">
        <v>100</v>
      </c>
      <c r="AF5" s="104">
        <v>1000000</v>
      </c>
      <c r="AG5" s="14" t="s">
        <v>94</v>
      </c>
      <c r="AH5" s="14" t="s">
        <v>95</v>
      </c>
      <c r="AK5" s="14" t="s">
        <v>97</v>
      </c>
      <c r="AL5" s="14" t="s">
        <v>97</v>
      </c>
      <c r="AM5" s="14" t="s">
        <v>97</v>
      </c>
      <c r="AN5" s="14" t="s">
        <v>98</v>
      </c>
    </row>
    <row r="6" spans="1:61" x14ac:dyDescent="0.4">
      <c r="A6" s="83"/>
      <c r="C6" s="130">
        <f>C5</f>
        <v>0</v>
      </c>
      <c r="D6" s="151"/>
      <c r="E6" s="335" t="s">
        <v>93</v>
      </c>
      <c r="F6" s="222" t="s">
        <v>90</v>
      </c>
      <c r="G6" s="134" t="s">
        <v>99</v>
      </c>
      <c r="H6" s="272" t="s">
        <v>100</v>
      </c>
      <c r="I6" s="222"/>
      <c r="J6" s="222"/>
      <c r="K6" s="223"/>
      <c r="AC6" s="14" t="s">
        <v>93</v>
      </c>
      <c r="AD6" s="14" t="s">
        <v>91</v>
      </c>
      <c r="AE6" s="20">
        <v>0</v>
      </c>
      <c r="AF6" s="20">
        <v>100</v>
      </c>
      <c r="AG6" s="14" t="s">
        <v>101</v>
      </c>
      <c r="AK6" s="14" t="s">
        <v>97</v>
      </c>
      <c r="AL6" s="14" t="s">
        <v>97</v>
      </c>
      <c r="AM6" s="14" t="s">
        <v>96</v>
      </c>
      <c r="AN6" s="14" t="s">
        <v>98</v>
      </c>
    </row>
    <row r="7" spans="1:61" x14ac:dyDescent="0.4">
      <c r="A7" s="83"/>
      <c r="C7" s="130">
        <f t="shared" ref="C7:C16" si="0">C6</f>
        <v>0</v>
      </c>
      <c r="D7" s="151"/>
      <c r="E7" s="336" t="s">
        <v>93</v>
      </c>
      <c r="F7" s="224" t="s">
        <v>90</v>
      </c>
      <c r="G7" s="135" t="s">
        <v>105</v>
      </c>
      <c r="H7" s="273">
        <v>150</v>
      </c>
      <c r="I7" s="224"/>
      <c r="J7" s="224"/>
      <c r="K7" s="223"/>
      <c r="AC7" s="14" t="s">
        <v>93</v>
      </c>
      <c r="AD7" s="14" t="s">
        <v>91</v>
      </c>
      <c r="AE7" s="20">
        <v>-100</v>
      </c>
      <c r="AF7" s="20">
        <v>0</v>
      </c>
      <c r="AG7" s="14" t="s">
        <v>104</v>
      </c>
      <c r="AK7" s="14" t="s">
        <v>97</v>
      </c>
      <c r="AL7" s="14" t="s">
        <v>97</v>
      </c>
      <c r="AM7" s="14" t="s">
        <v>104</v>
      </c>
      <c r="AN7" s="14" t="s">
        <v>98</v>
      </c>
    </row>
    <row r="8" spans="1:61" x14ac:dyDescent="0.4">
      <c r="A8" s="83"/>
      <c r="C8" s="130">
        <f t="shared" si="0"/>
        <v>0</v>
      </c>
      <c r="D8" s="151"/>
      <c r="E8" s="114" t="s">
        <v>166</v>
      </c>
      <c r="F8" s="208" t="s">
        <v>90</v>
      </c>
      <c r="G8" s="133" t="s">
        <v>91</v>
      </c>
      <c r="H8" s="274" t="str">
        <f t="shared" ref="H8:H16" si="1">H5</f>
        <v>0-30</v>
      </c>
      <c r="I8" s="208"/>
      <c r="J8" s="208"/>
      <c r="K8" s="217"/>
      <c r="U8" s="19"/>
      <c r="V8" s="19"/>
      <c r="AC8" s="14" t="s">
        <v>93</v>
      </c>
      <c r="AD8" s="14" t="s">
        <v>91</v>
      </c>
      <c r="AE8" s="20">
        <v>-150</v>
      </c>
      <c r="AF8" s="20">
        <v>-100</v>
      </c>
      <c r="AG8" s="14" t="s">
        <v>96</v>
      </c>
      <c r="AK8" s="14" t="s">
        <v>97</v>
      </c>
      <c r="AL8" s="14" t="s">
        <v>97</v>
      </c>
      <c r="AM8" s="14" t="s">
        <v>101</v>
      </c>
      <c r="AN8" s="14" t="s">
        <v>98</v>
      </c>
    </row>
    <row r="9" spans="1:61" x14ac:dyDescent="0.4">
      <c r="A9" s="83"/>
      <c r="C9" s="130">
        <f t="shared" si="0"/>
        <v>0</v>
      </c>
      <c r="D9" s="151"/>
      <c r="E9" s="144" t="s">
        <v>166</v>
      </c>
      <c r="F9" s="209" t="s">
        <v>90</v>
      </c>
      <c r="G9" s="134" t="s">
        <v>99</v>
      </c>
      <c r="H9" s="275" t="str">
        <f t="shared" si="1"/>
        <v>31-100</v>
      </c>
      <c r="I9" s="209"/>
      <c r="J9" s="209"/>
      <c r="K9" s="179"/>
      <c r="U9" s="19"/>
      <c r="V9" s="19"/>
      <c r="W9" s="19"/>
      <c r="X9" s="19"/>
      <c r="AC9" s="14" t="s">
        <v>93</v>
      </c>
      <c r="AD9" s="14" t="s">
        <v>91</v>
      </c>
      <c r="AE9" s="20">
        <v>-10000000</v>
      </c>
      <c r="AF9" s="20">
        <v>-150</v>
      </c>
      <c r="AG9" s="14" t="s">
        <v>97</v>
      </c>
      <c r="AH9" s="14" t="s">
        <v>107</v>
      </c>
      <c r="AK9" s="14" t="s">
        <v>97</v>
      </c>
      <c r="AL9" s="14" t="s">
        <v>97</v>
      </c>
      <c r="AM9" s="14" t="s">
        <v>94</v>
      </c>
      <c r="AN9" s="14" t="s">
        <v>98</v>
      </c>
    </row>
    <row r="10" spans="1:61" x14ac:dyDescent="0.4">
      <c r="A10" s="83"/>
      <c r="C10" s="130">
        <f t="shared" si="0"/>
        <v>0</v>
      </c>
      <c r="D10" s="151"/>
      <c r="E10" s="132" t="s">
        <v>166</v>
      </c>
      <c r="F10" s="210" t="s">
        <v>90</v>
      </c>
      <c r="G10" s="136" t="s">
        <v>105</v>
      </c>
      <c r="H10" s="276">
        <f t="shared" si="1"/>
        <v>150</v>
      </c>
      <c r="I10" s="210"/>
      <c r="J10" s="210"/>
      <c r="K10" s="176"/>
      <c r="U10" s="19"/>
      <c r="AC10" s="14" t="s">
        <v>93</v>
      </c>
      <c r="AD10" s="14" t="s">
        <v>99</v>
      </c>
      <c r="AE10" s="104">
        <v>100</v>
      </c>
      <c r="AF10" s="104">
        <v>1000000</v>
      </c>
      <c r="AG10" s="14" t="s">
        <v>94</v>
      </c>
      <c r="AH10" s="14" t="s">
        <v>95</v>
      </c>
      <c r="AK10" s="14" t="s">
        <v>97</v>
      </c>
      <c r="AL10" s="14" t="s">
        <v>96</v>
      </c>
      <c r="AM10" s="14" t="s">
        <v>97</v>
      </c>
      <c r="AN10" s="14" t="s">
        <v>98</v>
      </c>
    </row>
    <row r="11" spans="1:61" x14ac:dyDescent="0.4">
      <c r="A11" s="83"/>
      <c r="C11" s="130">
        <f t="shared" si="0"/>
        <v>0</v>
      </c>
      <c r="D11" s="151"/>
      <c r="E11" s="111" t="s">
        <v>167</v>
      </c>
      <c r="F11" s="213" t="s">
        <v>90</v>
      </c>
      <c r="G11" s="137" t="s">
        <v>91</v>
      </c>
      <c r="H11" s="277" t="str">
        <f t="shared" si="1"/>
        <v>0-30</v>
      </c>
      <c r="I11" s="213"/>
      <c r="J11" s="213"/>
      <c r="K11" s="217"/>
      <c r="T11" s="19"/>
      <c r="U11" s="19"/>
      <c r="V11" s="19"/>
      <c r="AC11" s="14" t="s">
        <v>93</v>
      </c>
      <c r="AD11" s="14" t="s">
        <v>99</v>
      </c>
      <c r="AE11" s="20">
        <v>0</v>
      </c>
      <c r="AF11" s="20">
        <v>100</v>
      </c>
      <c r="AG11" s="14" t="s">
        <v>101</v>
      </c>
      <c r="AK11" s="14" t="s">
        <v>97</v>
      </c>
      <c r="AL11" s="14" t="s">
        <v>96</v>
      </c>
      <c r="AM11" s="14" t="s">
        <v>96</v>
      </c>
      <c r="AN11" s="14" t="s">
        <v>98</v>
      </c>
    </row>
    <row r="12" spans="1:61" x14ac:dyDescent="0.4">
      <c r="A12" s="83"/>
      <c r="C12" s="130">
        <f t="shared" si="0"/>
        <v>0</v>
      </c>
      <c r="D12" s="151"/>
      <c r="E12" s="337" t="s">
        <v>167</v>
      </c>
      <c r="F12" s="224" t="s">
        <v>90</v>
      </c>
      <c r="G12" s="135" t="s">
        <v>99</v>
      </c>
      <c r="H12" s="273" t="str">
        <f t="shared" si="1"/>
        <v>31-100</v>
      </c>
      <c r="I12" s="224"/>
      <c r="J12" s="224"/>
      <c r="K12" s="179"/>
      <c r="T12" s="19"/>
      <c r="V12" s="19"/>
      <c r="AC12" s="14" t="s">
        <v>93</v>
      </c>
      <c r="AD12" s="14" t="s">
        <v>99</v>
      </c>
      <c r="AE12" s="20">
        <v>-100</v>
      </c>
      <c r="AF12" s="20">
        <v>0</v>
      </c>
      <c r="AG12" s="14" t="s">
        <v>104</v>
      </c>
      <c r="AK12" s="14" t="s">
        <v>97</v>
      </c>
      <c r="AL12" s="14" t="s">
        <v>96</v>
      </c>
      <c r="AM12" s="14" t="s">
        <v>104</v>
      </c>
      <c r="AN12" s="14" t="s">
        <v>98</v>
      </c>
    </row>
    <row r="13" spans="1:61" x14ac:dyDescent="0.4">
      <c r="A13" s="83"/>
      <c r="C13" s="130">
        <f t="shared" si="0"/>
        <v>0</v>
      </c>
      <c r="D13" s="151"/>
      <c r="E13" s="338" t="s">
        <v>167</v>
      </c>
      <c r="F13" s="225" t="s">
        <v>90</v>
      </c>
      <c r="G13" s="138" t="s">
        <v>105</v>
      </c>
      <c r="H13" s="278">
        <f t="shared" si="1"/>
        <v>150</v>
      </c>
      <c r="I13" s="225"/>
      <c r="J13" s="225"/>
      <c r="K13" s="176"/>
      <c r="U13" s="19"/>
      <c r="V13" s="19"/>
      <c r="AC13" s="14" t="s">
        <v>93</v>
      </c>
      <c r="AD13" s="14" t="s">
        <v>99</v>
      </c>
      <c r="AE13" s="20">
        <v>-150</v>
      </c>
      <c r="AF13" s="20">
        <v>-100</v>
      </c>
      <c r="AG13" s="14" t="s">
        <v>96</v>
      </c>
      <c r="AK13" s="14" t="s">
        <v>97</v>
      </c>
      <c r="AL13" s="14" t="s">
        <v>96</v>
      </c>
      <c r="AM13" s="14" t="s">
        <v>101</v>
      </c>
      <c r="AN13" s="14" t="s">
        <v>98</v>
      </c>
    </row>
    <row r="14" spans="1:61" x14ac:dyDescent="0.4">
      <c r="A14" s="83"/>
      <c r="C14" s="130">
        <f t="shared" si="0"/>
        <v>0</v>
      </c>
      <c r="D14" s="151"/>
      <c r="E14" s="117" t="s">
        <v>168</v>
      </c>
      <c r="F14" s="219" t="s">
        <v>90</v>
      </c>
      <c r="G14" s="147" t="s">
        <v>91</v>
      </c>
      <c r="H14" s="279" t="str">
        <f t="shared" si="1"/>
        <v>0-30</v>
      </c>
      <c r="I14" s="219"/>
      <c r="J14" s="219"/>
      <c r="K14" s="218"/>
      <c r="V14" s="19"/>
      <c r="AC14" s="14" t="s">
        <v>93</v>
      </c>
      <c r="AD14" s="14" t="s">
        <v>99</v>
      </c>
      <c r="AE14" s="20">
        <v>-10000000</v>
      </c>
      <c r="AF14" s="20">
        <v>-150</v>
      </c>
      <c r="AG14" s="14" t="s">
        <v>97</v>
      </c>
      <c r="AH14" s="14" t="s">
        <v>107</v>
      </c>
      <c r="AK14" s="14" t="s">
        <v>97</v>
      </c>
      <c r="AL14" s="14" t="s">
        <v>96</v>
      </c>
      <c r="AM14" s="14" t="s">
        <v>94</v>
      </c>
      <c r="AN14" s="14" t="s">
        <v>98</v>
      </c>
    </row>
    <row r="15" spans="1:61" x14ac:dyDescent="0.4">
      <c r="A15" s="83"/>
      <c r="C15" s="130">
        <f t="shared" si="0"/>
        <v>0</v>
      </c>
      <c r="D15" s="151"/>
      <c r="E15" s="131" t="s">
        <v>168</v>
      </c>
      <c r="F15" s="212" t="s">
        <v>90</v>
      </c>
      <c r="G15" s="135" t="s">
        <v>99</v>
      </c>
      <c r="H15" s="280" t="str">
        <f t="shared" si="1"/>
        <v>31-100</v>
      </c>
      <c r="I15" s="212"/>
      <c r="J15" s="212"/>
      <c r="K15" s="179"/>
      <c r="U15" s="19"/>
      <c r="V15" s="19"/>
      <c r="AC15" s="14" t="s">
        <v>93</v>
      </c>
      <c r="AD15" s="14" t="s">
        <v>105</v>
      </c>
      <c r="AE15" s="104">
        <v>100</v>
      </c>
      <c r="AF15" s="104">
        <v>1000000</v>
      </c>
      <c r="AG15" s="14" t="s">
        <v>94</v>
      </c>
      <c r="AH15" s="14" t="s">
        <v>95</v>
      </c>
      <c r="AK15" s="14" t="s">
        <v>97</v>
      </c>
      <c r="AL15" s="14" t="s">
        <v>104</v>
      </c>
      <c r="AM15" s="14" t="s">
        <v>97</v>
      </c>
      <c r="AN15" s="14" t="s">
        <v>98</v>
      </c>
    </row>
    <row r="16" spans="1:61" x14ac:dyDescent="0.4">
      <c r="A16" s="83"/>
      <c r="C16" s="130">
        <f t="shared" si="0"/>
        <v>0</v>
      </c>
      <c r="D16" s="151"/>
      <c r="E16" s="132" t="s">
        <v>168</v>
      </c>
      <c r="F16" s="214" t="s">
        <v>90</v>
      </c>
      <c r="G16" s="138" t="s">
        <v>105</v>
      </c>
      <c r="H16" s="281">
        <f t="shared" si="1"/>
        <v>150</v>
      </c>
      <c r="I16" s="214"/>
      <c r="J16" s="214"/>
      <c r="K16" s="176"/>
      <c r="U16" s="19"/>
      <c r="V16" s="19"/>
      <c r="AC16" s="14" t="s">
        <v>93</v>
      </c>
      <c r="AD16" s="14" t="s">
        <v>105</v>
      </c>
      <c r="AE16" s="20">
        <v>0</v>
      </c>
      <c r="AF16" s="20">
        <v>100</v>
      </c>
      <c r="AG16" s="14" t="s">
        <v>101</v>
      </c>
      <c r="AK16" s="14" t="s">
        <v>97</v>
      </c>
      <c r="AL16" s="14" t="s">
        <v>104</v>
      </c>
      <c r="AM16" s="14" t="s">
        <v>96</v>
      </c>
      <c r="AN16" s="14" t="s">
        <v>98</v>
      </c>
    </row>
    <row r="17" spans="3:40" x14ac:dyDescent="0.4">
      <c r="T17" s="19"/>
      <c r="U17" s="19"/>
      <c r="V17" s="19"/>
      <c r="AC17" s="14" t="s">
        <v>93</v>
      </c>
      <c r="AD17" s="14" t="s">
        <v>105</v>
      </c>
      <c r="AE17" s="20">
        <v>-100</v>
      </c>
      <c r="AF17" s="20">
        <v>0</v>
      </c>
      <c r="AG17" s="14" t="s">
        <v>104</v>
      </c>
      <c r="AK17" s="14" t="s">
        <v>97</v>
      </c>
      <c r="AL17" s="14" t="s">
        <v>104</v>
      </c>
      <c r="AM17" s="14" t="s">
        <v>104</v>
      </c>
      <c r="AN17" s="14" t="s">
        <v>98</v>
      </c>
    </row>
    <row r="18" spans="3:40" x14ac:dyDescent="0.4">
      <c r="D18" s="17" t="s">
        <v>1907</v>
      </c>
      <c r="T18" s="19"/>
      <c r="AC18" s="14" t="s">
        <v>93</v>
      </c>
      <c r="AD18" s="14" t="s">
        <v>105</v>
      </c>
      <c r="AE18" s="20">
        <v>-150</v>
      </c>
      <c r="AF18" s="20">
        <v>-100</v>
      </c>
      <c r="AG18" s="14" t="s">
        <v>96</v>
      </c>
      <c r="AK18" s="14" t="s">
        <v>97</v>
      </c>
      <c r="AL18" s="14" t="s">
        <v>104</v>
      </c>
      <c r="AM18" s="14" t="s">
        <v>101</v>
      </c>
      <c r="AN18" s="14" t="s">
        <v>98</v>
      </c>
    </row>
    <row r="19" spans="3:40" hidden="1" x14ac:dyDescent="0.4">
      <c r="C19" s="14">
        <v>7.11</v>
      </c>
      <c r="D19" s="14">
        <v>7.12</v>
      </c>
      <c r="E19" s="14">
        <v>7.13</v>
      </c>
      <c r="F19" s="14">
        <v>7.14</v>
      </c>
      <c r="G19" s="14">
        <v>7.15</v>
      </c>
      <c r="H19" s="14">
        <v>7.16</v>
      </c>
      <c r="I19" s="14">
        <v>7.17</v>
      </c>
      <c r="J19" s="14">
        <v>7.18</v>
      </c>
      <c r="K19" s="14">
        <v>7.19</v>
      </c>
      <c r="AC19" s="14" t="s">
        <v>93</v>
      </c>
      <c r="AD19" s="14" t="s">
        <v>105</v>
      </c>
      <c r="AE19" s="20">
        <v>-10000000</v>
      </c>
      <c r="AF19" s="20">
        <v>-150</v>
      </c>
      <c r="AG19" s="14" t="s">
        <v>97</v>
      </c>
      <c r="AH19" s="14" t="s">
        <v>107</v>
      </c>
      <c r="AK19" s="14" t="s">
        <v>97</v>
      </c>
      <c r="AL19" s="14" t="s">
        <v>104</v>
      </c>
      <c r="AM19" s="14" t="s">
        <v>94</v>
      </c>
      <c r="AN19" s="14" t="s">
        <v>98</v>
      </c>
    </row>
    <row r="20" spans="3:40" s="16" customFormat="1" ht="46.2" customHeight="1" thickBot="1" x14ac:dyDescent="0.45">
      <c r="C20" s="58" t="s">
        <v>40</v>
      </c>
      <c r="D20" s="57" t="s">
        <v>73</v>
      </c>
      <c r="E20" s="106" t="s">
        <v>111</v>
      </c>
      <c r="F20" s="91" t="s">
        <v>75</v>
      </c>
      <c r="G20" s="106" t="s">
        <v>76</v>
      </c>
      <c r="H20" s="91" t="s">
        <v>77</v>
      </c>
      <c r="I20" s="91" t="s">
        <v>78</v>
      </c>
      <c r="J20" s="91" t="s">
        <v>79</v>
      </c>
      <c r="K20" s="105" t="s">
        <v>52</v>
      </c>
      <c r="O20" s="14"/>
      <c r="P20" s="14"/>
      <c r="Q20" s="14"/>
      <c r="AC20" s="16" t="s">
        <v>166</v>
      </c>
      <c r="AD20" s="16" t="s">
        <v>91</v>
      </c>
      <c r="AE20" s="16">
        <v>-1000000</v>
      </c>
      <c r="AF20" s="16" t="e">
        <f>0.8876*((0.0278/(1+10^(7.688-(AVERAGE(F63)))))+(1.1994/(1+10^((AVERAGE(F63))-7.688))))*(2.126*10^(0.028*(20-(AVERAGE(F64)))))</f>
        <v>#DIV/0!</v>
      </c>
      <c r="AG20" s="16" t="s">
        <v>169</v>
      </c>
      <c r="AH20" s="16" t="s">
        <v>170</v>
      </c>
      <c r="AK20" s="16" t="s">
        <v>97</v>
      </c>
      <c r="AL20" s="16" t="s">
        <v>101</v>
      </c>
      <c r="AM20" s="16" t="s">
        <v>97</v>
      </c>
      <c r="AN20" s="16" t="s">
        <v>98</v>
      </c>
    </row>
    <row r="21" spans="3:40" ht="17.399999999999999" thickTop="1" x14ac:dyDescent="0.4">
      <c r="C21" s="107">
        <f>C5</f>
        <v>0</v>
      </c>
      <c r="D21" s="151"/>
      <c r="E21" s="334" t="s">
        <v>93</v>
      </c>
      <c r="F21" s="208" t="s">
        <v>112</v>
      </c>
      <c r="G21" s="139" t="s">
        <v>91</v>
      </c>
      <c r="H21" s="274" t="str">
        <f t="shared" ref="H21:H32" si="2">H5</f>
        <v>0-30</v>
      </c>
      <c r="I21" s="208"/>
      <c r="J21" s="208"/>
      <c r="K21" s="216"/>
      <c r="AC21" s="14" t="s">
        <v>166</v>
      </c>
      <c r="AD21" s="14" t="s">
        <v>91</v>
      </c>
      <c r="AG21" s="14" t="s">
        <v>104</v>
      </c>
      <c r="AH21" s="14" t="s">
        <v>171</v>
      </c>
      <c r="AK21" s="14" t="s">
        <v>97</v>
      </c>
      <c r="AL21" s="14" t="s">
        <v>101</v>
      </c>
      <c r="AM21" s="14" t="s">
        <v>96</v>
      </c>
      <c r="AN21" s="14" t="s">
        <v>98</v>
      </c>
    </row>
    <row r="22" spans="3:40" x14ac:dyDescent="0.4">
      <c r="C22" s="130">
        <f>C21</f>
        <v>0</v>
      </c>
      <c r="D22" s="151"/>
      <c r="E22" s="335" t="s">
        <v>93</v>
      </c>
      <c r="F22" s="209" t="s">
        <v>112</v>
      </c>
      <c r="G22" s="140" t="s">
        <v>99</v>
      </c>
      <c r="H22" s="275" t="str">
        <f t="shared" si="2"/>
        <v>31-100</v>
      </c>
      <c r="I22" s="209"/>
      <c r="J22" s="209"/>
      <c r="K22" s="179"/>
      <c r="AC22" s="14" t="s">
        <v>166</v>
      </c>
      <c r="AD22" s="14" t="s">
        <v>91</v>
      </c>
      <c r="AE22" s="14" t="e">
        <f>0.8876*((0.0278/(1+10^(7.688-(AVERAGE(F63)))))+(1.1994/(1+10^((AVERAGE(F63))-7.688))))*(2.126*10^(0.028*(20-(AVERAGE(F64)))))</f>
        <v>#DIV/0!</v>
      </c>
      <c r="AF22" s="14">
        <v>1000000</v>
      </c>
      <c r="AG22" s="14" t="s">
        <v>108</v>
      </c>
      <c r="AH22" s="14" t="s">
        <v>172</v>
      </c>
      <c r="AK22" s="14" t="s">
        <v>97</v>
      </c>
      <c r="AL22" s="14" t="s">
        <v>101</v>
      </c>
      <c r="AM22" s="14" t="s">
        <v>104</v>
      </c>
      <c r="AN22" s="14" t="s">
        <v>98</v>
      </c>
    </row>
    <row r="23" spans="3:40" x14ac:dyDescent="0.4">
      <c r="C23" s="130">
        <f t="shared" ref="C23:C56" si="3">C22</f>
        <v>0</v>
      </c>
      <c r="D23" s="151"/>
      <c r="E23" s="336" t="s">
        <v>93</v>
      </c>
      <c r="F23" s="210" t="s">
        <v>112</v>
      </c>
      <c r="G23" s="141" t="s">
        <v>105</v>
      </c>
      <c r="H23" s="276">
        <f t="shared" si="2"/>
        <v>150</v>
      </c>
      <c r="I23" s="210"/>
      <c r="J23" s="210"/>
      <c r="K23" s="176"/>
      <c r="AC23" s="14" t="s">
        <v>166</v>
      </c>
      <c r="AD23" s="14" t="s">
        <v>99</v>
      </c>
      <c r="AE23" s="14">
        <v>-1000000</v>
      </c>
      <c r="AF23" s="14" t="e">
        <f>0.8876*((0.0278/(1+10^(7.688-(AVERAGE(F67)))))+(1.1994/(1+10^((AVERAGE(F67))-7.688))))*(2.126*10^(0.028*(20-(AVERAGE(F68)))))</f>
        <v>#DIV/0!</v>
      </c>
      <c r="AG23" s="14" t="s">
        <v>169</v>
      </c>
      <c r="AK23" s="14" t="s">
        <v>97</v>
      </c>
      <c r="AL23" s="14" t="s">
        <v>101</v>
      </c>
      <c r="AM23" s="14" t="s">
        <v>101</v>
      </c>
      <c r="AN23" s="14" t="s">
        <v>98</v>
      </c>
    </row>
    <row r="24" spans="3:40" x14ac:dyDescent="0.4">
      <c r="C24" s="130">
        <f t="shared" si="3"/>
        <v>0</v>
      </c>
      <c r="D24" s="151"/>
      <c r="E24" s="335" t="s">
        <v>93</v>
      </c>
      <c r="F24" s="211" t="s">
        <v>113</v>
      </c>
      <c r="G24" s="139" t="s">
        <v>91</v>
      </c>
      <c r="H24" s="282" t="str">
        <f t="shared" si="2"/>
        <v>0-30</v>
      </c>
      <c r="I24" s="211"/>
      <c r="J24" s="211"/>
      <c r="K24" s="216"/>
      <c r="AC24" s="14" t="s">
        <v>166</v>
      </c>
      <c r="AD24" s="14" t="s">
        <v>99</v>
      </c>
      <c r="AG24" s="14" t="s">
        <v>104</v>
      </c>
      <c r="AK24" s="14" t="s">
        <v>97</v>
      </c>
      <c r="AL24" s="14" t="s">
        <v>101</v>
      </c>
      <c r="AM24" s="14" t="s">
        <v>94</v>
      </c>
      <c r="AN24" s="14" t="s">
        <v>98</v>
      </c>
    </row>
    <row r="25" spans="3:40" x14ac:dyDescent="0.4">
      <c r="C25" s="130">
        <f t="shared" si="3"/>
        <v>0</v>
      </c>
      <c r="D25" s="151"/>
      <c r="E25" s="336" t="s">
        <v>93</v>
      </c>
      <c r="F25" s="212" t="s">
        <v>113</v>
      </c>
      <c r="G25" s="140" t="s">
        <v>99</v>
      </c>
      <c r="H25" s="280" t="str">
        <f t="shared" si="2"/>
        <v>31-100</v>
      </c>
      <c r="I25" s="212"/>
      <c r="J25" s="212"/>
      <c r="K25" s="179"/>
      <c r="AC25" s="14" t="s">
        <v>166</v>
      </c>
      <c r="AD25" s="14" t="s">
        <v>99</v>
      </c>
      <c r="AE25" s="14" t="e">
        <f>0.8876*((0.0278/(1+10^(7.688-(AVERAGE(F67)))))+(1.1994/(1+10^((AVERAGE(F67))-7.688))))*(2.126*10^(0.028*(20-(AVERAGE(F68)))))</f>
        <v>#DIV/0!</v>
      </c>
      <c r="AF25" s="14">
        <v>1000000</v>
      </c>
      <c r="AG25" s="14" t="s">
        <v>108</v>
      </c>
      <c r="AK25" s="14" t="s">
        <v>97</v>
      </c>
      <c r="AL25" s="14" t="s">
        <v>94</v>
      </c>
      <c r="AM25" s="14" t="s">
        <v>97</v>
      </c>
      <c r="AN25" s="14" t="s">
        <v>98</v>
      </c>
    </row>
    <row r="26" spans="3:40" x14ac:dyDescent="0.4">
      <c r="C26" s="130">
        <f t="shared" si="3"/>
        <v>0</v>
      </c>
      <c r="D26" s="151"/>
      <c r="E26" s="335" t="s">
        <v>93</v>
      </c>
      <c r="F26" s="209" t="s">
        <v>113</v>
      </c>
      <c r="G26" s="142" t="s">
        <v>105</v>
      </c>
      <c r="H26" s="275">
        <f t="shared" si="2"/>
        <v>150</v>
      </c>
      <c r="I26" s="209"/>
      <c r="J26" s="209"/>
      <c r="K26" s="179"/>
      <c r="AC26" s="14" t="s">
        <v>166</v>
      </c>
      <c r="AD26" s="14" t="s">
        <v>105</v>
      </c>
      <c r="AE26" s="14">
        <v>-1000000</v>
      </c>
      <c r="AF26" s="14" t="e">
        <f>0.8876*((0.0278/(1+10^(7.688-(AVERAGE(F71)))))+(1.1994/(1+10^((AVERAGE(F71))-7.688))))*(2.126*10^(0.028*(20-(AVERAGE(F72)))))</f>
        <v>#DIV/0!</v>
      </c>
      <c r="AG26" s="14" t="s">
        <v>169</v>
      </c>
      <c r="AK26" s="14" t="s">
        <v>97</v>
      </c>
      <c r="AL26" s="14" t="s">
        <v>94</v>
      </c>
      <c r="AM26" s="14" t="s">
        <v>96</v>
      </c>
      <c r="AN26" s="14" t="s">
        <v>98</v>
      </c>
    </row>
    <row r="27" spans="3:40" x14ac:dyDescent="0.4">
      <c r="C27" s="130">
        <f t="shared" si="3"/>
        <v>0</v>
      </c>
      <c r="D27" s="151"/>
      <c r="E27" s="336" t="s">
        <v>93</v>
      </c>
      <c r="F27" s="208" t="s">
        <v>118</v>
      </c>
      <c r="G27" s="139" t="s">
        <v>91</v>
      </c>
      <c r="H27" s="274" t="str">
        <f t="shared" si="2"/>
        <v>0-30</v>
      </c>
      <c r="I27" s="208"/>
      <c r="J27" s="208"/>
      <c r="K27" s="216"/>
      <c r="AC27" s="14" t="s">
        <v>166</v>
      </c>
      <c r="AD27" s="14" t="s">
        <v>105</v>
      </c>
      <c r="AG27" s="14" t="s">
        <v>104</v>
      </c>
      <c r="AK27" s="14" t="s">
        <v>97</v>
      </c>
      <c r="AL27" s="14" t="s">
        <v>94</v>
      </c>
      <c r="AM27" s="14" t="s">
        <v>104</v>
      </c>
      <c r="AN27" s="14" t="s">
        <v>98</v>
      </c>
    </row>
    <row r="28" spans="3:40" x14ac:dyDescent="0.4">
      <c r="C28" s="130">
        <f t="shared" si="3"/>
        <v>0</v>
      </c>
      <c r="D28" s="151"/>
      <c r="E28" s="335" t="s">
        <v>93</v>
      </c>
      <c r="F28" s="209" t="s">
        <v>118</v>
      </c>
      <c r="G28" s="140" t="s">
        <v>99</v>
      </c>
      <c r="H28" s="275" t="str">
        <f t="shared" si="2"/>
        <v>31-100</v>
      </c>
      <c r="I28" s="209"/>
      <c r="J28" s="209"/>
      <c r="K28" s="179"/>
      <c r="AC28" s="14" t="s">
        <v>166</v>
      </c>
      <c r="AD28" s="14" t="s">
        <v>105</v>
      </c>
      <c r="AE28" s="14" t="e">
        <f>0.8876*((0.0278/(1+10^(7.688-(AVERAGE(F71)))))+(1.1994/(1+10^((AVERAGE(F71))-7.688))))*(2.126*10^(0.028*(20-(AVERAGE(F72)))))</f>
        <v>#DIV/0!</v>
      </c>
      <c r="AF28" s="14">
        <v>1000000</v>
      </c>
      <c r="AG28" s="14" t="s">
        <v>108</v>
      </c>
      <c r="AK28" s="14" t="s">
        <v>97</v>
      </c>
      <c r="AL28" s="14" t="s">
        <v>94</v>
      </c>
      <c r="AM28" s="14" t="s">
        <v>101</v>
      </c>
      <c r="AN28" s="14" t="s">
        <v>98</v>
      </c>
    </row>
    <row r="29" spans="3:40" x14ac:dyDescent="0.4">
      <c r="C29" s="130">
        <f t="shared" si="3"/>
        <v>0</v>
      </c>
      <c r="D29" s="151"/>
      <c r="E29" s="336" t="s">
        <v>93</v>
      </c>
      <c r="F29" s="212" t="s">
        <v>118</v>
      </c>
      <c r="G29" s="142" t="s">
        <v>105</v>
      </c>
      <c r="H29" s="280">
        <f t="shared" si="2"/>
        <v>150</v>
      </c>
      <c r="I29" s="212"/>
      <c r="J29" s="212"/>
      <c r="K29" s="179"/>
      <c r="AK29" s="14" t="s">
        <v>97</v>
      </c>
      <c r="AL29" s="14" t="s">
        <v>94</v>
      </c>
      <c r="AM29" s="14" t="s">
        <v>94</v>
      </c>
      <c r="AN29" s="14" t="s">
        <v>98</v>
      </c>
    </row>
    <row r="30" spans="3:40" x14ac:dyDescent="0.4">
      <c r="C30" s="130">
        <f t="shared" si="3"/>
        <v>0</v>
      </c>
      <c r="D30" s="151"/>
      <c r="E30" s="111" t="s">
        <v>167</v>
      </c>
      <c r="F30" s="310" t="s">
        <v>112</v>
      </c>
      <c r="G30" s="139" t="s">
        <v>91</v>
      </c>
      <c r="H30" s="277" t="str">
        <f t="shared" si="2"/>
        <v>0-30</v>
      </c>
      <c r="I30" s="213"/>
      <c r="J30" s="213"/>
      <c r="K30" s="217"/>
      <c r="AK30" s="14" t="s">
        <v>96</v>
      </c>
      <c r="AL30" s="14" t="s">
        <v>97</v>
      </c>
      <c r="AM30" s="14" t="s">
        <v>97</v>
      </c>
      <c r="AN30" s="14" t="s">
        <v>98</v>
      </c>
    </row>
    <row r="31" spans="3:40" x14ac:dyDescent="0.4">
      <c r="C31" s="130">
        <f t="shared" si="3"/>
        <v>0</v>
      </c>
      <c r="D31" s="151"/>
      <c r="E31" s="112" t="s">
        <v>167</v>
      </c>
      <c r="F31" s="227" t="s">
        <v>112</v>
      </c>
      <c r="G31" s="140" t="s">
        <v>99</v>
      </c>
      <c r="H31" s="280" t="str">
        <f t="shared" si="2"/>
        <v>31-100</v>
      </c>
      <c r="I31" s="212"/>
      <c r="J31" s="212"/>
      <c r="K31" s="179"/>
      <c r="AC31" s="37" t="s">
        <v>80</v>
      </c>
      <c r="AD31" s="37" t="s">
        <v>76</v>
      </c>
      <c r="AE31" s="37" t="s">
        <v>173</v>
      </c>
      <c r="AF31" s="14" t="s">
        <v>174</v>
      </c>
      <c r="AG31" s="37" t="s">
        <v>175</v>
      </c>
      <c r="AH31" s="37" t="s">
        <v>176</v>
      </c>
      <c r="AI31" s="37" t="s">
        <v>52</v>
      </c>
      <c r="AK31" s="14" t="s">
        <v>96</v>
      </c>
      <c r="AL31" s="14" t="s">
        <v>97</v>
      </c>
      <c r="AM31" s="14" t="s">
        <v>96</v>
      </c>
      <c r="AN31" s="14" t="s">
        <v>98</v>
      </c>
    </row>
    <row r="32" spans="3:40" x14ac:dyDescent="0.4">
      <c r="C32" s="130">
        <f t="shared" si="3"/>
        <v>0</v>
      </c>
      <c r="D32" s="151"/>
      <c r="E32" s="112" t="s">
        <v>167</v>
      </c>
      <c r="F32" s="226" t="s">
        <v>112</v>
      </c>
      <c r="G32" s="142" t="s">
        <v>105</v>
      </c>
      <c r="H32" s="275">
        <f t="shared" si="2"/>
        <v>150</v>
      </c>
      <c r="I32" s="209"/>
      <c r="J32" s="209"/>
      <c r="K32" s="179"/>
      <c r="AC32" s="14" t="s">
        <v>166</v>
      </c>
      <c r="AD32" s="14" t="s">
        <v>91</v>
      </c>
      <c r="AE32" s="14" t="e">
        <f>0.8876*((0.0278/(1+10^(7.688-(AVERAGE(F63)))))+(1.1994/(1+10^((AVERAGE(F63))-7.688))))*(2.126*10^(0.028*(20-(AVERAGE(F64)))))</f>
        <v>#DIV/0!</v>
      </c>
      <c r="AI32" s="14" t="s">
        <v>177</v>
      </c>
      <c r="AK32" s="14" t="s">
        <v>96</v>
      </c>
      <c r="AL32" s="14" t="s">
        <v>97</v>
      </c>
      <c r="AM32" s="14" t="s">
        <v>104</v>
      </c>
      <c r="AN32" s="14" t="s">
        <v>98</v>
      </c>
    </row>
    <row r="33" spans="3:40" x14ac:dyDescent="0.4">
      <c r="C33" s="130">
        <f t="shared" si="3"/>
        <v>0</v>
      </c>
      <c r="D33" s="151"/>
      <c r="E33" s="112" t="s">
        <v>167</v>
      </c>
      <c r="F33" s="284" t="s">
        <v>113</v>
      </c>
      <c r="G33" s="290" t="s">
        <v>91</v>
      </c>
      <c r="H33" s="286" t="str">
        <f t="shared" ref="H33:H44" si="4">H5</f>
        <v>0-30</v>
      </c>
      <c r="I33" s="284"/>
      <c r="J33" s="208"/>
      <c r="K33" s="217"/>
      <c r="AC33" s="14" t="s">
        <v>166</v>
      </c>
      <c r="AD33" s="14" t="s">
        <v>99</v>
      </c>
      <c r="AE33" s="14" t="e">
        <f>0.8876*((0.0278/(1+10^(7.688-(AVERAGE(F67)))))+(1.1994/(1+10^((AVERAGE(F67))-7.688))))*(2.126*10^(0.028*(20-(AVERAGE(F68)))))</f>
        <v>#DIV/0!</v>
      </c>
      <c r="AK33" s="14" t="s">
        <v>96</v>
      </c>
      <c r="AL33" s="14" t="s">
        <v>97</v>
      </c>
      <c r="AM33" s="14" t="s">
        <v>101</v>
      </c>
      <c r="AN33" s="14" t="s">
        <v>98</v>
      </c>
    </row>
    <row r="34" spans="3:40" x14ac:dyDescent="0.4">
      <c r="C34" s="130">
        <f t="shared" si="3"/>
        <v>0</v>
      </c>
      <c r="D34" s="151"/>
      <c r="E34" s="112" t="s">
        <v>167</v>
      </c>
      <c r="F34" s="289" t="s">
        <v>113</v>
      </c>
      <c r="G34" s="197" t="s">
        <v>99</v>
      </c>
      <c r="H34" s="287" t="str">
        <f t="shared" si="4"/>
        <v>31-100</v>
      </c>
      <c r="I34" s="226"/>
      <c r="J34" s="209"/>
      <c r="K34" s="179"/>
      <c r="AC34" s="14" t="s">
        <v>166</v>
      </c>
      <c r="AD34" s="14" t="s">
        <v>105</v>
      </c>
      <c r="AE34" s="14" t="e">
        <f>0.8876*((0.0278/(1+10^(7.688-(AVERAGE(F71)))))+(1.1994/(1+10^((AVERAGE(F71))-7.688))))*(2.126*10^(0.028*(20-(AVERAGE(F72)))))</f>
        <v>#DIV/0!</v>
      </c>
      <c r="AK34" s="14" t="s">
        <v>96</v>
      </c>
      <c r="AL34" s="14" t="s">
        <v>97</v>
      </c>
      <c r="AM34" s="14" t="s">
        <v>94</v>
      </c>
      <c r="AN34" s="14" t="s">
        <v>98</v>
      </c>
    </row>
    <row r="35" spans="3:40" x14ac:dyDescent="0.4">
      <c r="C35" s="130">
        <f t="shared" si="3"/>
        <v>0</v>
      </c>
      <c r="D35" s="151"/>
      <c r="E35" s="112" t="s">
        <v>167</v>
      </c>
      <c r="F35" s="311" t="s">
        <v>113</v>
      </c>
      <c r="G35" s="199" t="s">
        <v>105</v>
      </c>
      <c r="H35" s="288">
        <f t="shared" si="4"/>
        <v>150</v>
      </c>
      <c r="I35" s="285"/>
      <c r="J35" s="210"/>
      <c r="K35" s="176"/>
      <c r="AK35" s="14" t="s">
        <v>96</v>
      </c>
      <c r="AL35" s="14" t="s">
        <v>96</v>
      </c>
      <c r="AM35" s="14" t="s">
        <v>97</v>
      </c>
      <c r="AN35" s="14" t="s">
        <v>98</v>
      </c>
    </row>
    <row r="36" spans="3:40" x14ac:dyDescent="0.4">
      <c r="C36" s="130">
        <f t="shared" si="3"/>
        <v>0</v>
      </c>
      <c r="D36" s="151"/>
      <c r="E36" s="112" t="s">
        <v>167</v>
      </c>
      <c r="F36" s="289" t="s">
        <v>118</v>
      </c>
      <c r="G36" s="143" t="s">
        <v>91</v>
      </c>
      <c r="H36" s="279" t="str">
        <f t="shared" si="4"/>
        <v>0-30</v>
      </c>
      <c r="I36" s="219"/>
      <c r="J36" s="219"/>
      <c r="K36" s="218"/>
      <c r="AK36" s="14" t="s">
        <v>96</v>
      </c>
      <c r="AL36" s="14" t="s">
        <v>96</v>
      </c>
      <c r="AM36" s="14" t="s">
        <v>96</v>
      </c>
      <c r="AN36" s="14" t="s">
        <v>98</v>
      </c>
    </row>
    <row r="37" spans="3:40" x14ac:dyDescent="0.4">
      <c r="C37" s="130">
        <f t="shared" si="3"/>
        <v>0</v>
      </c>
      <c r="D37" s="151"/>
      <c r="E37" s="112" t="s">
        <v>167</v>
      </c>
      <c r="F37" s="227" t="s">
        <v>118</v>
      </c>
      <c r="G37" s="140" t="s">
        <v>99</v>
      </c>
      <c r="H37" s="280" t="str">
        <f t="shared" si="4"/>
        <v>31-100</v>
      </c>
      <c r="I37" s="212"/>
      <c r="J37" s="212"/>
      <c r="K37" s="179"/>
      <c r="AK37" s="14" t="s">
        <v>96</v>
      </c>
      <c r="AL37" s="14" t="s">
        <v>96</v>
      </c>
      <c r="AM37" s="14" t="s">
        <v>104</v>
      </c>
      <c r="AN37" s="14" t="s">
        <v>98</v>
      </c>
    </row>
    <row r="38" spans="3:40" x14ac:dyDescent="0.4">
      <c r="C38" s="130">
        <f t="shared" si="3"/>
        <v>0</v>
      </c>
      <c r="D38" s="151"/>
      <c r="E38" s="113" t="s">
        <v>167</v>
      </c>
      <c r="F38" s="312" t="s">
        <v>118</v>
      </c>
      <c r="G38" s="141" t="s">
        <v>105</v>
      </c>
      <c r="H38" s="281">
        <f t="shared" si="4"/>
        <v>150</v>
      </c>
      <c r="I38" s="214"/>
      <c r="J38" s="214"/>
      <c r="K38" s="176"/>
      <c r="AC38" s="17" t="s">
        <v>114</v>
      </c>
      <c r="AK38" s="14" t="s">
        <v>96</v>
      </c>
      <c r="AL38" s="14" t="s">
        <v>96</v>
      </c>
      <c r="AM38" s="14" t="s">
        <v>101</v>
      </c>
      <c r="AN38" s="14" t="s">
        <v>98</v>
      </c>
    </row>
    <row r="39" spans="3:40" x14ac:dyDescent="0.4">
      <c r="C39" s="130">
        <f t="shared" si="3"/>
        <v>0</v>
      </c>
      <c r="D39" s="151"/>
      <c r="E39" s="117" t="s">
        <v>166</v>
      </c>
      <c r="F39" s="215" t="s">
        <v>112</v>
      </c>
      <c r="G39" s="143" t="s">
        <v>91</v>
      </c>
      <c r="H39" s="283" t="str">
        <f t="shared" si="4"/>
        <v>0-30</v>
      </c>
      <c r="I39" s="215"/>
      <c r="J39" s="215"/>
      <c r="K39" s="218"/>
      <c r="AK39" s="14" t="s">
        <v>96</v>
      </c>
      <c r="AL39" s="14" t="s">
        <v>96</v>
      </c>
      <c r="AM39" s="14" t="s">
        <v>94</v>
      </c>
      <c r="AN39" s="14" t="s">
        <v>98</v>
      </c>
    </row>
    <row r="40" spans="3:40" x14ac:dyDescent="0.4">
      <c r="C40" s="130">
        <f t="shared" si="3"/>
        <v>0</v>
      </c>
      <c r="D40" s="151"/>
      <c r="E40" s="144" t="s">
        <v>166</v>
      </c>
      <c r="F40" s="209" t="s">
        <v>112</v>
      </c>
      <c r="G40" s="140" t="s">
        <v>99</v>
      </c>
      <c r="H40" s="275" t="str">
        <f t="shared" si="4"/>
        <v>31-100</v>
      </c>
      <c r="I40" s="209"/>
      <c r="J40" s="209"/>
      <c r="K40" s="179"/>
      <c r="AC40" s="14" t="s">
        <v>83</v>
      </c>
      <c r="AD40" s="81" t="s">
        <v>115</v>
      </c>
      <c r="AE40" s="14" t="s">
        <v>116</v>
      </c>
      <c r="AF40" s="14" t="s">
        <v>117</v>
      </c>
      <c r="AG40" s="14" t="s">
        <v>52</v>
      </c>
      <c r="AK40" s="14" t="s">
        <v>96</v>
      </c>
      <c r="AL40" s="14" t="s">
        <v>104</v>
      </c>
      <c r="AM40" s="14" t="s">
        <v>97</v>
      </c>
      <c r="AN40" s="14" t="s">
        <v>98</v>
      </c>
    </row>
    <row r="41" spans="3:40" x14ac:dyDescent="0.4">
      <c r="C41" s="130">
        <f t="shared" si="3"/>
        <v>0</v>
      </c>
      <c r="D41" s="151"/>
      <c r="E41" s="131" t="s">
        <v>166</v>
      </c>
      <c r="F41" s="210" t="s">
        <v>112</v>
      </c>
      <c r="G41" s="141" t="s">
        <v>105</v>
      </c>
      <c r="H41" s="276">
        <f t="shared" si="4"/>
        <v>150</v>
      </c>
      <c r="I41" s="210"/>
      <c r="J41" s="210"/>
      <c r="K41" s="176"/>
      <c r="AC41" s="14" t="s">
        <v>97</v>
      </c>
      <c r="AD41" s="14">
        <v>4.0000099999999996</v>
      </c>
      <c r="AE41" s="14">
        <v>6</v>
      </c>
      <c r="AF41" s="39">
        <v>5</v>
      </c>
      <c r="AG41" s="14" t="s">
        <v>95</v>
      </c>
      <c r="AK41" s="14" t="s">
        <v>96</v>
      </c>
      <c r="AL41" s="14" t="s">
        <v>104</v>
      </c>
      <c r="AM41" s="14" t="s">
        <v>96</v>
      </c>
      <c r="AN41" s="14" t="s">
        <v>98</v>
      </c>
    </row>
    <row r="42" spans="3:40" x14ac:dyDescent="0.4">
      <c r="C42" s="130">
        <f t="shared" si="3"/>
        <v>0</v>
      </c>
      <c r="D42" s="151"/>
      <c r="E42" s="144" t="s">
        <v>166</v>
      </c>
      <c r="F42" s="219" t="s">
        <v>113</v>
      </c>
      <c r="G42" s="143" t="s">
        <v>91</v>
      </c>
      <c r="H42" s="279" t="str">
        <f t="shared" si="4"/>
        <v>0-30</v>
      </c>
      <c r="I42" s="219"/>
      <c r="J42" s="219"/>
      <c r="K42" s="218"/>
      <c r="AC42" s="14" t="s">
        <v>96</v>
      </c>
      <c r="AD42" s="14">
        <v>3.1</v>
      </c>
      <c r="AE42" s="14">
        <v>4.0000099999999996</v>
      </c>
      <c r="AF42" s="39">
        <v>4</v>
      </c>
      <c r="AK42" s="14" t="s">
        <v>96</v>
      </c>
      <c r="AL42" s="14" t="s">
        <v>104</v>
      </c>
      <c r="AM42" s="14" t="s">
        <v>104</v>
      </c>
      <c r="AN42" s="14" t="s">
        <v>98</v>
      </c>
    </row>
    <row r="43" spans="3:40" x14ac:dyDescent="0.4">
      <c r="C43" s="130">
        <f t="shared" si="3"/>
        <v>0</v>
      </c>
      <c r="D43" s="151"/>
      <c r="E43" s="131" t="s">
        <v>166</v>
      </c>
      <c r="F43" s="212" t="s">
        <v>113</v>
      </c>
      <c r="G43" s="140" t="s">
        <v>99</v>
      </c>
      <c r="H43" s="280" t="str">
        <f t="shared" si="4"/>
        <v>31-100</v>
      </c>
      <c r="I43" s="212"/>
      <c r="J43" s="212"/>
      <c r="K43" s="179"/>
      <c r="AC43" s="14" t="s">
        <v>104</v>
      </c>
      <c r="AD43" s="14">
        <v>2.1</v>
      </c>
      <c r="AE43" s="14">
        <v>3.09999</v>
      </c>
      <c r="AF43" s="39">
        <v>3</v>
      </c>
      <c r="AK43" s="14" t="s">
        <v>96</v>
      </c>
      <c r="AL43" s="14" t="s">
        <v>104</v>
      </c>
      <c r="AM43" s="14" t="s">
        <v>101</v>
      </c>
      <c r="AN43" s="14" t="s">
        <v>98</v>
      </c>
    </row>
    <row r="44" spans="3:40" x14ac:dyDescent="0.4">
      <c r="C44" s="130">
        <f t="shared" si="3"/>
        <v>0</v>
      </c>
      <c r="D44" s="151"/>
      <c r="E44" s="144" t="s">
        <v>166</v>
      </c>
      <c r="F44" s="214" t="s">
        <v>113</v>
      </c>
      <c r="G44" s="141" t="s">
        <v>105</v>
      </c>
      <c r="H44" s="281">
        <f t="shared" si="4"/>
        <v>150</v>
      </c>
      <c r="I44" s="214"/>
      <c r="J44" s="214"/>
      <c r="K44" s="176"/>
      <c r="AC44" s="14" t="s">
        <v>101</v>
      </c>
      <c r="AD44" s="14">
        <v>1.1000000000000001</v>
      </c>
      <c r="AE44" s="14">
        <v>2.09999</v>
      </c>
      <c r="AF44" s="39">
        <v>2</v>
      </c>
      <c r="AK44" s="14" t="s">
        <v>96</v>
      </c>
      <c r="AL44" s="14" t="s">
        <v>104</v>
      </c>
      <c r="AM44" s="14" t="s">
        <v>94</v>
      </c>
      <c r="AN44" s="14" t="s">
        <v>98</v>
      </c>
    </row>
    <row r="45" spans="3:40" x14ac:dyDescent="0.4">
      <c r="C45" s="130">
        <f t="shared" si="3"/>
        <v>0</v>
      </c>
      <c r="D45" s="151"/>
      <c r="E45" s="131" t="s">
        <v>166</v>
      </c>
      <c r="F45" s="208" t="s">
        <v>118</v>
      </c>
      <c r="G45" s="139" t="s">
        <v>91</v>
      </c>
      <c r="H45" s="274" t="str">
        <f t="shared" ref="H45:H56" si="5">H5</f>
        <v>0-30</v>
      </c>
      <c r="I45" s="208"/>
      <c r="J45" s="208"/>
      <c r="K45" s="217"/>
      <c r="AC45" s="14" t="s">
        <v>94</v>
      </c>
      <c r="AD45" s="14">
        <v>0</v>
      </c>
      <c r="AE45" s="14">
        <v>1.09999</v>
      </c>
      <c r="AF45" s="39">
        <v>1</v>
      </c>
      <c r="AG45" s="14" t="s">
        <v>119</v>
      </c>
      <c r="AK45" s="14" t="s">
        <v>96</v>
      </c>
      <c r="AL45" s="14" t="s">
        <v>101</v>
      </c>
      <c r="AM45" s="14" t="s">
        <v>97</v>
      </c>
      <c r="AN45" s="14" t="s">
        <v>98</v>
      </c>
    </row>
    <row r="46" spans="3:40" x14ac:dyDescent="0.4">
      <c r="C46" s="130">
        <f t="shared" si="3"/>
        <v>0</v>
      </c>
      <c r="D46" s="151"/>
      <c r="E46" s="144" t="s">
        <v>166</v>
      </c>
      <c r="F46" s="209" t="s">
        <v>118</v>
      </c>
      <c r="G46" s="140" t="s">
        <v>99</v>
      </c>
      <c r="H46" s="275" t="str">
        <f t="shared" si="5"/>
        <v>31-100</v>
      </c>
      <c r="I46" s="209"/>
      <c r="J46" s="209"/>
      <c r="K46" s="179"/>
      <c r="AK46" s="14" t="s">
        <v>96</v>
      </c>
      <c r="AL46" s="14" t="s">
        <v>101</v>
      </c>
      <c r="AM46" s="14" t="s">
        <v>96</v>
      </c>
      <c r="AN46" s="14" t="s">
        <v>98</v>
      </c>
    </row>
    <row r="47" spans="3:40" x14ac:dyDescent="0.4">
      <c r="C47" s="130">
        <f t="shared" si="3"/>
        <v>0</v>
      </c>
      <c r="D47" s="151"/>
      <c r="E47" s="132" t="s">
        <v>166</v>
      </c>
      <c r="F47" s="210" t="s">
        <v>118</v>
      </c>
      <c r="G47" s="141" t="s">
        <v>105</v>
      </c>
      <c r="H47" s="276">
        <f t="shared" si="5"/>
        <v>150</v>
      </c>
      <c r="I47" s="210"/>
      <c r="J47" s="210"/>
      <c r="K47" s="176"/>
      <c r="AK47" s="14" t="s">
        <v>96</v>
      </c>
      <c r="AL47" s="14" t="s">
        <v>101</v>
      </c>
      <c r="AM47" s="14" t="s">
        <v>104</v>
      </c>
      <c r="AN47" s="14" t="s">
        <v>98</v>
      </c>
    </row>
    <row r="48" spans="3:40" x14ac:dyDescent="0.4">
      <c r="C48" s="130">
        <f t="shared" si="3"/>
        <v>0</v>
      </c>
      <c r="D48" s="151"/>
      <c r="E48" s="114" t="s">
        <v>168</v>
      </c>
      <c r="F48" s="211" t="s">
        <v>112</v>
      </c>
      <c r="G48" s="139" t="s">
        <v>91</v>
      </c>
      <c r="H48" s="282" t="str">
        <f t="shared" si="5"/>
        <v>0-30</v>
      </c>
      <c r="I48" s="211"/>
      <c r="J48" s="211"/>
      <c r="K48" s="217"/>
      <c r="AK48" s="14" t="s">
        <v>96</v>
      </c>
      <c r="AL48" s="14" t="s">
        <v>101</v>
      </c>
      <c r="AM48" s="14" t="s">
        <v>101</v>
      </c>
      <c r="AN48" s="14" t="s">
        <v>98</v>
      </c>
    </row>
    <row r="49" spans="1:40" x14ac:dyDescent="0.4">
      <c r="C49" s="130">
        <f t="shared" si="3"/>
        <v>0</v>
      </c>
      <c r="D49" s="151"/>
      <c r="E49" s="131" t="s">
        <v>168</v>
      </c>
      <c r="F49" s="212" t="s">
        <v>112</v>
      </c>
      <c r="G49" s="140" t="s">
        <v>99</v>
      </c>
      <c r="H49" s="280" t="str">
        <f t="shared" si="5"/>
        <v>31-100</v>
      </c>
      <c r="I49" s="212"/>
      <c r="J49" s="212"/>
      <c r="K49" s="179"/>
      <c r="AK49" s="14" t="s">
        <v>96</v>
      </c>
      <c r="AL49" s="14" t="s">
        <v>101</v>
      </c>
      <c r="AM49" s="14" t="s">
        <v>94</v>
      </c>
      <c r="AN49" s="14" t="s">
        <v>98</v>
      </c>
    </row>
    <row r="50" spans="1:40" x14ac:dyDescent="0.4">
      <c r="C50" s="130">
        <f t="shared" si="3"/>
        <v>0</v>
      </c>
      <c r="D50" s="151"/>
      <c r="E50" s="131" t="s">
        <v>168</v>
      </c>
      <c r="F50" s="209" t="s">
        <v>112</v>
      </c>
      <c r="G50" s="142" t="s">
        <v>105</v>
      </c>
      <c r="H50" s="275">
        <f t="shared" si="5"/>
        <v>150</v>
      </c>
      <c r="I50" s="209"/>
      <c r="J50" s="209"/>
      <c r="K50" s="179"/>
      <c r="AK50" s="14" t="s">
        <v>96</v>
      </c>
      <c r="AL50" s="14" t="s">
        <v>94</v>
      </c>
      <c r="AM50" s="14" t="s">
        <v>97</v>
      </c>
      <c r="AN50" s="14" t="s">
        <v>98</v>
      </c>
    </row>
    <row r="51" spans="1:40" x14ac:dyDescent="0.4">
      <c r="C51" s="130">
        <f t="shared" si="3"/>
        <v>0</v>
      </c>
      <c r="D51" s="151"/>
      <c r="E51" s="131" t="s">
        <v>168</v>
      </c>
      <c r="F51" s="208" t="s">
        <v>113</v>
      </c>
      <c r="G51" s="139" t="s">
        <v>91</v>
      </c>
      <c r="H51" s="274" t="str">
        <f t="shared" si="5"/>
        <v>0-30</v>
      </c>
      <c r="I51" s="208"/>
      <c r="J51" s="208"/>
      <c r="K51" s="217"/>
      <c r="AK51" s="14" t="s">
        <v>96</v>
      </c>
      <c r="AL51" s="14" t="s">
        <v>94</v>
      </c>
      <c r="AM51" s="14" t="s">
        <v>96</v>
      </c>
      <c r="AN51" s="14" t="s">
        <v>98</v>
      </c>
    </row>
    <row r="52" spans="1:40" x14ac:dyDescent="0.4">
      <c r="C52" s="130">
        <f t="shared" si="3"/>
        <v>0</v>
      </c>
      <c r="D52" s="151"/>
      <c r="E52" s="131" t="s">
        <v>168</v>
      </c>
      <c r="F52" s="209" t="s">
        <v>113</v>
      </c>
      <c r="G52" s="140" t="s">
        <v>99</v>
      </c>
      <c r="H52" s="275" t="str">
        <f t="shared" si="5"/>
        <v>31-100</v>
      </c>
      <c r="I52" s="209"/>
      <c r="J52" s="209"/>
      <c r="K52" s="179"/>
      <c r="AK52" s="14" t="s">
        <v>96</v>
      </c>
      <c r="AL52" s="14" t="s">
        <v>94</v>
      </c>
      <c r="AM52" s="14" t="s">
        <v>104</v>
      </c>
      <c r="AN52" s="14" t="s">
        <v>98</v>
      </c>
    </row>
    <row r="53" spans="1:40" x14ac:dyDescent="0.4">
      <c r="C53" s="130">
        <f t="shared" si="3"/>
        <v>0</v>
      </c>
      <c r="D53" s="151"/>
      <c r="E53" s="131" t="s">
        <v>168</v>
      </c>
      <c r="F53" s="210" t="s">
        <v>113</v>
      </c>
      <c r="G53" s="141" t="s">
        <v>105</v>
      </c>
      <c r="H53" s="276">
        <f t="shared" si="5"/>
        <v>150</v>
      </c>
      <c r="I53" s="210"/>
      <c r="J53" s="210"/>
      <c r="K53" s="176"/>
      <c r="AK53" s="14" t="s">
        <v>96</v>
      </c>
      <c r="AL53" s="14" t="s">
        <v>94</v>
      </c>
      <c r="AM53" s="14" t="s">
        <v>101</v>
      </c>
      <c r="AN53" s="14" t="s">
        <v>98</v>
      </c>
    </row>
    <row r="54" spans="1:40" x14ac:dyDescent="0.4">
      <c r="C54" s="130">
        <f t="shared" si="3"/>
        <v>0</v>
      </c>
      <c r="D54" s="151"/>
      <c r="E54" s="131" t="s">
        <v>168</v>
      </c>
      <c r="F54" s="219" t="s">
        <v>118</v>
      </c>
      <c r="G54" s="143" t="s">
        <v>91</v>
      </c>
      <c r="H54" s="279" t="str">
        <f t="shared" si="5"/>
        <v>0-30</v>
      </c>
      <c r="I54" s="219"/>
      <c r="J54" s="219"/>
      <c r="K54" s="218"/>
      <c r="AK54" s="14" t="s">
        <v>96</v>
      </c>
      <c r="AL54" s="14" t="s">
        <v>94</v>
      </c>
      <c r="AM54" s="14" t="s">
        <v>94</v>
      </c>
      <c r="AN54" s="14" t="s">
        <v>98</v>
      </c>
    </row>
    <row r="55" spans="1:40" x14ac:dyDescent="0.4">
      <c r="A55" s="83"/>
      <c r="C55" s="130">
        <f t="shared" si="3"/>
        <v>0</v>
      </c>
      <c r="D55" s="151"/>
      <c r="E55" s="131" t="s">
        <v>168</v>
      </c>
      <c r="F55" s="212" t="s">
        <v>118</v>
      </c>
      <c r="G55" s="140" t="s">
        <v>99</v>
      </c>
      <c r="H55" s="280" t="str">
        <f t="shared" si="5"/>
        <v>31-100</v>
      </c>
      <c r="I55" s="212"/>
      <c r="J55" s="212"/>
      <c r="K55" s="179"/>
      <c r="AK55" s="14" t="s">
        <v>104</v>
      </c>
      <c r="AL55" s="14" t="s">
        <v>97</v>
      </c>
      <c r="AM55" s="14" t="s">
        <v>97</v>
      </c>
      <c r="AN55" s="14" t="s">
        <v>98</v>
      </c>
    </row>
    <row r="56" spans="1:40" x14ac:dyDescent="0.4">
      <c r="A56" s="83"/>
      <c r="C56" s="130">
        <f t="shared" si="3"/>
        <v>0</v>
      </c>
      <c r="D56" s="151"/>
      <c r="E56" s="132" t="s">
        <v>168</v>
      </c>
      <c r="F56" s="214" t="s">
        <v>118</v>
      </c>
      <c r="G56" s="141" t="s">
        <v>105</v>
      </c>
      <c r="H56" s="281">
        <f t="shared" si="5"/>
        <v>150</v>
      </c>
      <c r="I56" s="214"/>
      <c r="J56" s="214"/>
      <c r="K56" s="176"/>
      <c r="AK56" s="14" t="s">
        <v>104</v>
      </c>
      <c r="AL56" s="14" t="s">
        <v>97</v>
      </c>
      <c r="AM56" s="14" t="s">
        <v>96</v>
      </c>
      <c r="AN56" s="14" t="s">
        <v>98</v>
      </c>
    </row>
    <row r="57" spans="1:40" x14ac:dyDescent="0.4">
      <c r="A57" s="83"/>
      <c r="AK57" s="14" t="s">
        <v>104</v>
      </c>
      <c r="AL57" s="14" t="s">
        <v>97</v>
      </c>
      <c r="AM57" s="14" t="s">
        <v>104</v>
      </c>
      <c r="AN57" s="14" t="s">
        <v>98</v>
      </c>
    </row>
    <row r="58" spans="1:40" x14ac:dyDescent="0.4">
      <c r="A58" s="83"/>
      <c r="D58" s="17" t="s">
        <v>1912</v>
      </c>
      <c r="F58" s="38"/>
      <c r="G58" s="38"/>
      <c r="AK58" s="14" t="s">
        <v>104</v>
      </c>
      <c r="AL58" s="14" t="s">
        <v>97</v>
      </c>
      <c r="AM58" s="14" t="s">
        <v>101</v>
      </c>
      <c r="AN58" s="14" t="s">
        <v>98</v>
      </c>
    </row>
    <row r="59" spans="1:40" hidden="1" x14ac:dyDescent="0.4">
      <c r="A59" s="83"/>
      <c r="C59" s="14">
        <v>7.21</v>
      </c>
      <c r="D59" s="14">
        <v>7.22</v>
      </c>
      <c r="E59" s="14">
        <v>7.23</v>
      </c>
      <c r="F59" s="14">
        <v>7.24</v>
      </c>
      <c r="G59" s="14">
        <v>7.25</v>
      </c>
      <c r="H59" s="14">
        <v>7.26</v>
      </c>
      <c r="I59" s="14">
        <v>7.27</v>
      </c>
      <c r="AK59" s="14" t="s">
        <v>104</v>
      </c>
      <c r="AL59" s="14" t="s">
        <v>97</v>
      </c>
      <c r="AM59" s="14" t="s">
        <v>94</v>
      </c>
      <c r="AN59" s="14" t="s">
        <v>98</v>
      </c>
    </row>
    <row r="60" spans="1:40" ht="33.6" x14ac:dyDescent="0.4">
      <c r="A60" s="83"/>
      <c r="C60" s="58" t="s">
        <v>40</v>
      </c>
      <c r="D60" s="58" t="s">
        <v>111</v>
      </c>
      <c r="E60" s="58" t="s">
        <v>76</v>
      </c>
      <c r="F60" s="58" t="s">
        <v>120</v>
      </c>
      <c r="G60" s="58" t="s">
        <v>178</v>
      </c>
      <c r="H60" s="58" t="s">
        <v>121</v>
      </c>
      <c r="I60" s="58" t="s">
        <v>122</v>
      </c>
      <c r="AK60" s="14" t="s">
        <v>104</v>
      </c>
      <c r="AL60" s="14" t="s">
        <v>96</v>
      </c>
      <c r="AM60" s="14" t="s">
        <v>97</v>
      </c>
      <c r="AN60" s="14" t="s">
        <v>98</v>
      </c>
    </row>
    <row r="61" spans="1:40" x14ac:dyDescent="0.4">
      <c r="A61" s="83"/>
      <c r="C61" s="74">
        <f>C5</f>
        <v>0</v>
      </c>
      <c r="D61" s="74" t="str">
        <f>E5</f>
        <v>Redox potential (EhNHE)</v>
      </c>
      <c r="E61" s="74" t="str">
        <f>G5</f>
        <v>Sampling zone 1</v>
      </c>
      <c r="F61" s="156" t="str">
        <f>IFERROR(AVERAGE(I5:J5,I27:J27,I21:J21,I24:J24), "")</f>
        <v/>
      </c>
      <c r="G61" s="200" t="s">
        <v>179</v>
      </c>
      <c r="H61" s="202" t="str" cm="1">
        <f t="array" ref="H61">IFERROR(INDEX('Benthic - L&amp;R Level 1 &amp; 2'!$AG$5:$AG$28, MATCH(1, ('Benthic - L&amp;R Level 1 &amp; 2'!$D61='Benthic - L&amp;R Level 1 &amp; 2'!$AC$5:$AC$28)*('Benthic - L&amp;R Level 1 &amp; 2'!$F61&gt;='Benthic - L&amp;R Level 1 &amp; 2'!$AE$5:$AE$28)*('Benthic - L&amp;R Level 1 &amp; 2'!$F61&lt;AF5:AF28),0)), "")</f>
        <v/>
      </c>
      <c r="I61" s="200" t="str" cm="1">
        <f t="array" ref="I61">IFERROR(_xlfn.IFS(Table16[[#This Row],[EQS category]]="Bad",5,Table16[[#This Row],[EQS category]]="Poor/Bad",5, Table16[[#This Row],[EQS category]]="Poor",4, Table16[[#This Row],[EQS category]]="Moderate",3, Table16[[#This Row],[EQS category]]="Good",2,Table16[[#This Row],[EQS category]]="Good/High",1, Table16[[#This Row],[EQS category]]="High",1), "")</f>
        <v/>
      </c>
      <c r="AK61" s="14" t="s">
        <v>104</v>
      </c>
      <c r="AL61" s="14" t="s">
        <v>96</v>
      </c>
      <c r="AM61" s="14" t="s">
        <v>96</v>
      </c>
      <c r="AN61" s="14" t="s">
        <v>98</v>
      </c>
    </row>
    <row r="62" spans="1:40" x14ac:dyDescent="0.4">
      <c r="A62" s="83"/>
      <c r="C62" s="74">
        <f>C21</f>
        <v>0</v>
      </c>
      <c r="D62" s="74" t="str">
        <f>E8</f>
        <v xml:space="preserve">TAN (mg/L) </v>
      </c>
      <c r="E62" s="74" t="str">
        <f>G11</f>
        <v>Sampling zone 1</v>
      </c>
      <c r="F62" s="156" t="str">
        <f>IFERROR(AVERAGE(I8:J8,I45:J45,I39:J39,I42:J42), "")</f>
        <v/>
      </c>
      <c r="G62" s="201" t="str">
        <f>IFERROR(AE32, "")</f>
        <v/>
      </c>
      <c r="H62" s="202" t="str" cm="1">
        <f t="array" ref="H62">IFERROR(_xlfn.IFS(Table16[[#This Row],[Avg. indicator value]]&gt;AE32, "Poor/Bad", Table16[[#This Row],[Avg. indicator value]]=AE32, "Moderate", Table16[[#This Row],[Avg. indicator value]]&lt;AE32, "High/Good"), "")</f>
        <v/>
      </c>
      <c r="I62" s="200" t="str" cm="1">
        <f t="array" ref="I62">IFERROR(_xlfn.IFS(Table16[[#This Row],[EQS category]]="Bad",5,Table16[[#This Row],[EQS category]]="Poor/Bad",5, Table16[[#This Row],[EQS category]]="Poor",4, Table16[[#This Row],[EQS category]]="Moderate",3, Table16[[#This Row],[EQS category]]="Good",2,Table16[[#This Row],[EQS category]]="High/Good",1, Table16[[#This Row],[EQS category]]="High",1), "")</f>
        <v/>
      </c>
      <c r="AK62" s="14" t="s">
        <v>104</v>
      </c>
      <c r="AL62" s="14" t="s">
        <v>96</v>
      </c>
      <c r="AM62" s="14" t="s">
        <v>104</v>
      </c>
      <c r="AN62" s="14" t="s">
        <v>98</v>
      </c>
    </row>
    <row r="63" spans="1:40" x14ac:dyDescent="0.4">
      <c r="A63" s="83"/>
      <c r="C63" s="74">
        <f>C24</f>
        <v>0</v>
      </c>
      <c r="D63" s="74" t="str">
        <f>E11</f>
        <v>pH</v>
      </c>
      <c r="E63" s="74" t="str">
        <f>G8</f>
        <v>Sampling zone 1</v>
      </c>
      <c r="F63" s="156" t="str">
        <f>IFERROR(AVERAGE(I11:J11,I30:J30,I36:J36,I33:J33), "")</f>
        <v/>
      </c>
      <c r="G63" s="200" t="s">
        <v>179</v>
      </c>
      <c r="H63" s="202" t="s">
        <v>179</v>
      </c>
      <c r="I63" s="200" t="s">
        <v>179</v>
      </c>
      <c r="AK63" s="14" t="s">
        <v>104</v>
      </c>
      <c r="AL63" s="14" t="s">
        <v>96</v>
      </c>
      <c r="AM63" s="14" t="s">
        <v>101</v>
      </c>
      <c r="AN63" s="14" t="s">
        <v>98</v>
      </c>
    </row>
    <row r="64" spans="1:40" x14ac:dyDescent="0.4">
      <c r="A64" s="83"/>
      <c r="C64" s="74">
        <f>C33</f>
        <v>0</v>
      </c>
      <c r="D64" s="74" t="str">
        <f>E14</f>
        <v>T (ºC)</v>
      </c>
      <c r="E64" s="74" t="str">
        <f>G14</f>
        <v>Sampling zone 1</v>
      </c>
      <c r="F64" s="156" t="str">
        <f>IFERROR(AVERAGE(I14:J14,I54:J54,I48:J48,I51:J51), "")</f>
        <v/>
      </c>
      <c r="G64" s="200" t="s">
        <v>179</v>
      </c>
      <c r="H64" s="202" t="s">
        <v>179</v>
      </c>
      <c r="I64" s="200" t="s">
        <v>179</v>
      </c>
      <c r="AK64" s="14" t="s">
        <v>104</v>
      </c>
      <c r="AL64" s="14" t="s">
        <v>96</v>
      </c>
      <c r="AM64" s="14" t="s">
        <v>94</v>
      </c>
      <c r="AN64" s="14" t="s">
        <v>98</v>
      </c>
    </row>
    <row r="65" spans="1:40" x14ac:dyDescent="0.4">
      <c r="A65" s="83"/>
      <c r="C65" s="74">
        <f>C36</f>
        <v>0</v>
      </c>
      <c r="D65" s="74" t="str">
        <f>E6</f>
        <v>Redox potential (EhNHE)</v>
      </c>
      <c r="E65" s="74" t="str">
        <f>G15</f>
        <v>Sampling zone 2</v>
      </c>
      <c r="F65" s="156" t="str">
        <f>IFERROR(AVERAGE(I6:J6,I28:J28,I22:J22,I25:J25), "")</f>
        <v/>
      </c>
      <c r="G65" s="200" t="s">
        <v>179</v>
      </c>
      <c r="H65" s="202" t="str" cm="1">
        <f t="array" ref="H65">IFERROR(INDEX('Benthic - L&amp;R Level 1 &amp; 2'!$AG$5:$AG$28, MATCH(1, ('Benthic - L&amp;R Level 1 &amp; 2'!$D65='Benthic - L&amp;R Level 1 &amp; 2'!$AC$5:$AC$28)*('Benthic - L&amp;R Level 1 &amp; 2'!$F65&gt;='Benthic - L&amp;R Level 1 &amp; 2'!$AE$5:$AE$28)*('Benthic - L&amp;R Level 1 &amp; 2'!$F65&lt;AF5:AF28),0)), "")</f>
        <v/>
      </c>
      <c r="I65" s="200" t="str" cm="1">
        <f t="array" ref="I65">IFERROR(_xlfn.IFS(Table16[[#This Row],[EQS category]]="Bad",5,Table16[[#This Row],[EQS category]]="Poor/Bad",5, Table16[[#This Row],[EQS category]]="Poor",4, Table16[[#This Row],[EQS category]]="Moderate",3, Table16[[#This Row],[EQS category]]="Good",2,Table16[[#This Row],[EQS category]]="Good/High",1, Table16[[#This Row],[EQS category]]="High",1), "")</f>
        <v/>
      </c>
      <c r="AK65" s="14" t="s">
        <v>104</v>
      </c>
      <c r="AL65" s="14" t="s">
        <v>104</v>
      </c>
      <c r="AM65" s="14" t="s">
        <v>97</v>
      </c>
      <c r="AN65" s="14" t="s">
        <v>98</v>
      </c>
    </row>
    <row r="66" spans="1:40" x14ac:dyDescent="0.4">
      <c r="A66" s="83"/>
      <c r="C66" s="74">
        <f>C8</f>
        <v>0</v>
      </c>
      <c r="D66" s="74" t="str">
        <f>E9</f>
        <v xml:space="preserve">TAN (mg/L) </v>
      </c>
      <c r="E66" s="74" t="str">
        <f>G9</f>
        <v>Sampling zone 2</v>
      </c>
      <c r="F66" s="156" t="str">
        <f>IFERROR(AVERAGE(I9:J9,I46:J46,I40:J40,I43:J43), "")</f>
        <v/>
      </c>
      <c r="G66" s="201" t="str">
        <f>IFERROR(AE33, "")</f>
        <v/>
      </c>
      <c r="H66" s="202" t="str" cm="1">
        <f t="array" ref="H66">IFERROR(_xlfn.IFS(Table16[[#This Row],[Avg. indicator value]]&gt;AE33, "Poor/Bad", Table16[[#This Row],[Avg. indicator value]]=AE33, "Moderate", Table16[[#This Row],[Avg. indicator value]]&lt;AE33, "High/Good"), "")</f>
        <v/>
      </c>
      <c r="I66" s="200" t="str" cm="1">
        <f t="array" ref="I66">IFERROR(_xlfn.IFS(Table16[[#This Row],[EQS category]]="Bad",5,Table16[[#This Row],[EQS category]]="Poor/Bad",5, Table16[[#This Row],[EQS category]]="Poor",4, Table16[[#This Row],[EQS category]]="Moderate",3, Table16[[#This Row],[EQS category]]="Good",2,Table16[[#This Row],[EQS category]]="High/Good",1, Table16[[#This Row],[EQS category]]="High",1), "")</f>
        <v/>
      </c>
      <c r="AK66" s="14" t="s">
        <v>104</v>
      </c>
      <c r="AL66" s="14" t="s">
        <v>104</v>
      </c>
      <c r="AM66" s="14" t="s">
        <v>96</v>
      </c>
      <c r="AN66" s="14" t="s">
        <v>98</v>
      </c>
    </row>
    <row r="67" spans="1:40" x14ac:dyDescent="0.4">
      <c r="A67" s="83"/>
      <c r="C67" s="74">
        <f>C27</f>
        <v>0</v>
      </c>
      <c r="D67" s="74" t="str">
        <f>E12</f>
        <v>pH</v>
      </c>
      <c r="E67" s="74" t="str">
        <f>G12</f>
        <v>Sampling zone 2</v>
      </c>
      <c r="F67" s="156" t="str">
        <f>IFERROR(AVERAGE(I12:J12,I34:J34,I37:J37,I31:J31), "")</f>
        <v/>
      </c>
      <c r="G67" s="200" t="s">
        <v>179</v>
      </c>
      <c r="H67" s="202" t="s">
        <v>179</v>
      </c>
      <c r="I67" s="200" t="s">
        <v>179</v>
      </c>
      <c r="AK67" s="14" t="s">
        <v>104</v>
      </c>
      <c r="AL67" s="14" t="s">
        <v>104</v>
      </c>
      <c r="AM67" s="14" t="s">
        <v>104</v>
      </c>
      <c r="AN67" s="14" t="s">
        <v>129</v>
      </c>
    </row>
    <row r="68" spans="1:40" x14ac:dyDescent="0.4">
      <c r="A68" s="83"/>
      <c r="C68" s="74">
        <f>C11</f>
        <v>0</v>
      </c>
      <c r="D68" s="74" t="str">
        <f>E15</f>
        <v>T (ºC)</v>
      </c>
      <c r="E68" s="74" t="str">
        <f>G15</f>
        <v>Sampling zone 2</v>
      </c>
      <c r="F68" s="156" t="str">
        <f>IFERROR(AVERAGE(I15:J15,I49:J49,I52:J52,I55:J55), "")</f>
        <v/>
      </c>
      <c r="G68" s="200" t="s">
        <v>179</v>
      </c>
      <c r="H68" s="202" t="s">
        <v>179</v>
      </c>
      <c r="I68" s="200" t="s">
        <v>179</v>
      </c>
      <c r="AK68" s="14" t="s">
        <v>104</v>
      </c>
      <c r="AL68" s="14" t="s">
        <v>104</v>
      </c>
      <c r="AM68" s="14" t="s">
        <v>101</v>
      </c>
      <c r="AN68" s="14" t="s">
        <v>129</v>
      </c>
    </row>
    <row r="69" spans="1:40" x14ac:dyDescent="0.4">
      <c r="A69" s="83"/>
      <c r="C69" s="74">
        <f>C30</f>
        <v>0</v>
      </c>
      <c r="D69" s="74" t="str">
        <f>E7</f>
        <v>Redox potential (EhNHE)</v>
      </c>
      <c r="E69" s="74" t="str">
        <f>G7</f>
        <v>Reference zone</v>
      </c>
      <c r="F69" s="156" t="str">
        <f>IFERROR(AVERAGE(I7:J7,I29:J29,I23:J23,I26:J26), "")</f>
        <v/>
      </c>
      <c r="G69" s="200" t="s">
        <v>179</v>
      </c>
      <c r="H69" s="202" t="str" cm="1">
        <f t="array" ref="H69">IFERROR(INDEX('Benthic - L&amp;R Level 1 &amp; 2'!$AG$5:$AG$28, MATCH(1, ('Benthic - L&amp;R Level 1 &amp; 2'!$D69='Benthic - L&amp;R Level 1 &amp; 2'!$AC$5:$AC$28)*('Benthic - L&amp;R Level 1 &amp; 2'!$F69&gt;='Benthic - L&amp;R Level 1 &amp; 2'!$AE$5:$AE$28)*('Benthic - L&amp;R Level 1 &amp; 2'!$F69&lt;AF5:AF28),0)), "")</f>
        <v/>
      </c>
      <c r="I69" s="200" t="str" cm="1">
        <f t="array" ref="I69">IFERROR(_xlfn.IFS(Table16[[#This Row],[EQS category]]="Bad",5,Table16[[#This Row],[EQS category]]="Poor/Bad",5, Table16[[#This Row],[EQS category]]="Poor",4, Table16[[#This Row],[EQS category]]="Moderate",3, Table16[[#This Row],[EQS category]]="Good",2,Table16[[#This Row],[EQS category]]="Good/High",1, Table16[[#This Row],[EQS category]]="High",1), "")</f>
        <v/>
      </c>
      <c r="AK69" s="14" t="s">
        <v>104</v>
      </c>
      <c r="AL69" s="14" t="s">
        <v>104</v>
      </c>
      <c r="AM69" s="14" t="s">
        <v>94</v>
      </c>
      <c r="AN69" s="14" t="s">
        <v>129</v>
      </c>
    </row>
    <row r="70" spans="1:40" x14ac:dyDescent="0.4">
      <c r="A70" s="83"/>
      <c r="C70" s="74">
        <f>C39</f>
        <v>0</v>
      </c>
      <c r="D70" s="74" t="str">
        <f>E10</f>
        <v xml:space="preserve">TAN (mg/L) </v>
      </c>
      <c r="E70" s="74" t="str">
        <f>G10</f>
        <v>Reference zone</v>
      </c>
      <c r="F70" s="156" t="str">
        <f>IFERROR(AVERAGE(I10:J10,I41:J41,I47:J47,I44:J44), "")</f>
        <v/>
      </c>
      <c r="G70" s="201" t="str">
        <f>IFERROR(AE34, "")</f>
        <v/>
      </c>
      <c r="H70" s="202" t="str" cm="1">
        <f t="array" ref="H70">IFERROR(_xlfn.IFS(Table16[[#This Row],[Avg. indicator value]]&gt;AE34, "Poor/Bad", Table16[[#This Row],[Avg. indicator value]]=AE34, "Moderate", Table16[[#This Row],[Avg. indicator value]]&lt;AE34, "High/Good"), "")</f>
        <v/>
      </c>
      <c r="I70" s="200" t="str" cm="1">
        <f t="array" ref="I70">IFERROR(_xlfn.IFS(Table16[[#This Row],[EQS category]]="Bad",5,Table16[[#This Row],[EQS category]]="Poor/Bad",5, Table16[[#This Row],[EQS category]]="Poor",4, Table16[[#This Row],[EQS category]]="Moderate",3, Table16[[#This Row],[EQS category]]="Good",2,Table16[[#This Row],[EQS category]]="High/Good",1, Table16[[#This Row],[EQS category]]="High",1), "")</f>
        <v/>
      </c>
      <c r="AK70" s="14" t="s">
        <v>104</v>
      </c>
      <c r="AL70" s="14" t="s">
        <v>101</v>
      </c>
      <c r="AM70" s="14" t="s">
        <v>97</v>
      </c>
      <c r="AN70" s="14" t="s">
        <v>98</v>
      </c>
    </row>
    <row r="71" spans="1:40" x14ac:dyDescent="0.4">
      <c r="A71" s="83"/>
      <c r="C71" s="74">
        <f>C42</f>
        <v>0</v>
      </c>
      <c r="D71" s="74" t="str">
        <f>E13</f>
        <v>pH</v>
      </c>
      <c r="E71" s="74" t="str">
        <f>G13</f>
        <v>Reference zone</v>
      </c>
      <c r="F71" s="156" t="str">
        <f>IFERROR(AVERAGE(I13:J13,I38:J38,I32:J32,I35:J35), "")</f>
        <v/>
      </c>
      <c r="G71" s="200" t="s">
        <v>179</v>
      </c>
      <c r="H71" s="202" t="s">
        <v>179</v>
      </c>
      <c r="I71" s="200" t="s">
        <v>179</v>
      </c>
      <c r="AK71" s="14" t="s">
        <v>104</v>
      </c>
      <c r="AL71" s="14" t="s">
        <v>101</v>
      </c>
      <c r="AM71" s="14" t="s">
        <v>96</v>
      </c>
      <c r="AN71" s="14" t="s">
        <v>98</v>
      </c>
    </row>
    <row r="72" spans="1:40" x14ac:dyDescent="0.4">
      <c r="A72" s="83"/>
      <c r="C72" s="74">
        <f>C45</f>
        <v>0</v>
      </c>
      <c r="D72" s="74" t="str">
        <f>E16</f>
        <v>T (ºC)</v>
      </c>
      <c r="E72" s="74" t="str">
        <f>G16</f>
        <v>Reference zone</v>
      </c>
      <c r="F72" s="156" t="str">
        <f>IFERROR(AVERAGE(I16:J16,I50:J50,I56:J56,I53:J53), "")</f>
        <v/>
      </c>
      <c r="G72" s="200" t="s">
        <v>179</v>
      </c>
      <c r="H72" s="202" t="s">
        <v>179</v>
      </c>
      <c r="I72" s="200" t="s">
        <v>179</v>
      </c>
      <c r="AK72" s="14" t="s">
        <v>104</v>
      </c>
      <c r="AL72" s="14" t="s">
        <v>101</v>
      </c>
      <c r="AM72" s="14" t="s">
        <v>104</v>
      </c>
      <c r="AN72" s="14" t="s">
        <v>129</v>
      </c>
    </row>
    <row r="73" spans="1:40" x14ac:dyDescent="0.4">
      <c r="A73" s="83"/>
      <c r="AK73" s="14" t="s">
        <v>104</v>
      </c>
      <c r="AL73" s="14" t="s">
        <v>101</v>
      </c>
      <c r="AM73" s="14" t="s">
        <v>101</v>
      </c>
      <c r="AN73" s="14" t="s">
        <v>129</v>
      </c>
    </row>
    <row r="74" spans="1:40" x14ac:dyDescent="0.4">
      <c r="A74" s="83"/>
      <c r="D74" s="17" t="s">
        <v>180</v>
      </c>
      <c r="E74" s="19"/>
      <c r="F74" s="19"/>
      <c r="AK74" s="14" t="s">
        <v>104</v>
      </c>
      <c r="AL74" s="14" t="s">
        <v>101</v>
      </c>
      <c r="AM74" s="14" t="s">
        <v>94</v>
      </c>
      <c r="AN74" s="14" t="s">
        <v>129</v>
      </c>
    </row>
    <row r="75" spans="1:40" hidden="1" x14ac:dyDescent="0.4">
      <c r="A75" s="83"/>
      <c r="C75" s="14">
        <v>7.28</v>
      </c>
      <c r="D75" s="14">
        <v>7.29</v>
      </c>
      <c r="E75" s="14">
        <v>7.31</v>
      </c>
      <c r="F75" s="14">
        <v>7.32</v>
      </c>
      <c r="AK75" s="14" t="s">
        <v>104</v>
      </c>
      <c r="AL75" s="14" t="s">
        <v>94</v>
      </c>
      <c r="AM75" s="14" t="s">
        <v>97</v>
      </c>
      <c r="AN75" s="14" t="s">
        <v>98</v>
      </c>
    </row>
    <row r="76" spans="1:40" x14ac:dyDescent="0.4">
      <c r="A76" s="83"/>
      <c r="C76" s="63" t="s">
        <v>124</v>
      </c>
      <c r="D76" s="63" t="s">
        <v>76</v>
      </c>
      <c r="E76" s="63" t="s">
        <v>125</v>
      </c>
      <c r="F76" s="63" t="s">
        <v>126</v>
      </c>
      <c r="AK76" s="14" t="s">
        <v>104</v>
      </c>
      <c r="AL76" s="14" t="s">
        <v>94</v>
      </c>
      <c r="AM76" s="14" t="s">
        <v>96</v>
      </c>
      <c r="AN76" s="14" t="s">
        <v>98</v>
      </c>
    </row>
    <row r="77" spans="1:40" x14ac:dyDescent="0.4">
      <c r="A77" s="83"/>
      <c r="C77" s="74">
        <f>C5</f>
        <v>0</v>
      </c>
      <c r="D77" s="79" t="str">
        <f>E61</f>
        <v>Sampling zone 1</v>
      </c>
      <c r="E77" s="55" t="str">
        <f>IFERROR((I61+I62)/2, "")</f>
        <v/>
      </c>
      <c r="F77" s="55" t="str" cm="1">
        <f t="array" ref="F77">IFERROR( INDEX(Table2022[EQS category ref], MATCH(1,(Table4845[[#This Row],[Zone EQS score]]&gt;Table2022[Larger than])*(Table4845[[#This Row],[Zone EQS score]]&lt;=Table2022[Equal or smaller than]),0)), "")</f>
        <v/>
      </c>
      <c r="AK77" s="14" t="s">
        <v>104</v>
      </c>
      <c r="AL77" s="14" t="s">
        <v>94</v>
      </c>
      <c r="AM77" s="14" t="s">
        <v>104</v>
      </c>
      <c r="AN77" s="14" t="s">
        <v>129</v>
      </c>
    </row>
    <row r="78" spans="1:40" x14ac:dyDescent="0.4">
      <c r="A78" s="83"/>
      <c r="C78" s="74">
        <f>C6</f>
        <v>0</v>
      </c>
      <c r="D78" s="79" t="str">
        <f>E65</f>
        <v>Sampling zone 2</v>
      </c>
      <c r="E78" s="55" t="str">
        <f>IFERROR((I65+I66)/2, "")</f>
        <v/>
      </c>
      <c r="F78" s="55" t="str" cm="1">
        <f t="array" ref="F78">IFERROR( INDEX(Table2022[EQS category ref], MATCH(1,(Table4845[[#This Row],[Zone EQS score]]&gt;Table2022[Larger than])*(Table4845[[#This Row],[Zone EQS score]]&lt;=Table2022[Equal or smaller than]),0)), "")</f>
        <v/>
      </c>
      <c r="AK78" s="14" t="s">
        <v>104</v>
      </c>
      <c r="AL78" s="14" t="s">
        <v>94</v>
      </c>
      <c r="AM78" s="14" t="s">
        <v>101</v>
      </c>
      <c r="AN78" s="14" t="s">
        <v>129</v>
      </c>
    </row>
    <row r="79" spans="1:40" x14ac:dyDescent="0.4">
      <c r="A79" s="83"/>
      <c r="C79" s="74">
        <f>C7</f>
        <v>0</v>
      </c>
      <c r="D79" s="79" t="str">
        <f>E69</f>
        <v>Reference zone</v>
      </c>
      <c r="E79" s="55" t="str">
        <f>IFERROR((I69+I70)/2, "")</f>
        <v/>
      </c>
      <c r="F79" s="55" t="str" cm="1">
        <f t="array" ref="F79">IFERROR( INDEX(Table2022[EQS category ref], MATCH(1,(Table4845[[#This Row],[Zone EQS score]]&gt;Table2022[Larger than])*(Table4845[[#This Row],[Zone EQS score]]&lt;=Table2022[Equal or smaller than]),0)), "")</f>
        <v/>
      </c>
      <c r="AK79" s="14" t="s">
        <v>104</v>
      </c>
      <c r="AL79" s="14" t="s">
        <v>94</v>
      </c>
      <c r="AM79" s="14" t="s">
        <v>94</v>
      </c>
      <c r="AN79" s="14" t="s">
        <v>129</v>
      </c>
    </row>
    <row r="80" spans="1:40" x14ac:dyDescent="0.4">
      <c r="A80" s="83"/>
      <c r="AK80" s="14" t="s">
        <v>101</v>
      </c>
      <c r="AL80" s="14" t="s">
        <v>97</v>
      </c>
      <c r="AM80" s="14" t="s">
        <v>97</v>
      </c>
      <c r="AN80" s="14" t="s">
        <v>98</v>
      </c>
    </row>
    <row r="81" spans="1:40" x14ac:dyDescent="0.4">
      <c r="A81" s="83"/>
      <c r="D81" s="17" t="s">
        <v>127</v>
      </c>
      <c r="AK81" s="14" t="s">
        <v>101</v>
      </c>
      <c r="AL81" s="14" t="s">
        <v>97</v>
      </c>
      <c r="AM81" s="14" t="s">
        <v>96</v>
      </c>
      <c r="AN81" s="14" t="s">
        <v>98</v>
      </c>
    </row>
    <row r="82" spans="1:40" hidden="1" x14ac:dyDescent="0.4">
      <c r="A82" s="83"/>
      <c r="C82" s="14">
        <v>7.33</v>
      </c>
      <c r="D82" s="14">
        <v>7.34</v>
      </c>
      <c r="AK82" s="14" t="s">
        <v>101</v>
      </c>
      <c r="AL82" s="14" t="s">
        <v>97</v>
      </c>
      <c r="AM82" s="14" t="s">
        <v>104</v>
      </c>
      <c r="AN82" s="14" t="s">
        <v>98</v>
      </c>
    </row>
    <row r="83" spans="1:40" x14ac:dyDescent="0.4">
      <c r="A83" s="83"/>
      <c r="C83" s="63" t="s">
        <v>40</v>
      </c>
      <c r="D83" s="62" t="s">
        <v>164</v>
      </c>
      <c r="AK83" s="14" t="s">
        <v>101</v>
      </c>
      <c r="AL83" s="14" t="s">
        <v>97</v>
      </c>
      <c r="AM83" s="14" t="s">
        <v>101</v>
      </c>
      <c r="AN83" s="14" t="s">
        <v>98</v>
      </c>
    </row>
    <row r="84" spans="1:40" x14ac:dyDescent="0.4">
      <c r="A84" s="83"/>
      <c r="C84" s="79">
        <f>C77</f>
        <v>0</v>
      </c>
      <c r="D84" s="55" t="str" cm="1">
        <f t="array" ref="D84">IFERROR(INDEX(Table4046[Benthic status], MATCH(1, (F79=Table22[[Reference zone ]])*(F77=Table22[Sampling zone 1])*(F78=Table22[Sampling zone 2]), 0)), "")</f>
        <v/>
      </c>
      <c r="AK84" s="14" t="s">
        <v>101</v>
      </c>
      <c r="AL84" s="14" t="s">
        <v>97</v>
      </c>
      <c r="AM84" s="14" t="s">
        <v>94</v>
      </c>
      <c r="AN84" s="14" t="s">
        <v>98</v>
      </c>
    </row>
    <row r="85" spans="1:40" x14ac:dyDescent="0.4">
      <c r="A85" s="83"/>
      <c r="AK85" s="14" t="s">
        <v>101</v>
      </c>
      <c r="AL85" s="14" t="s">
        <v>96</v>
      </c>
      <c r="AM85" s="14" t="s">
        <v>97</v>
      </c>
      <c r="AN85" s="14" t="s">
        <v>98</v>
      </c>
    </row>
    <row r="86" spans="1:40" x14ac:dyDescent="0.4">
      <c r="A86" s="83"/>
      <c r="AK86" s="14" t="s">
        <v>101</v>
      </c>
      <c r="AL86" s="14" t="s">
        <v>96</v>
      </c>
      <c r="AM86" s="14" t="s">
        <v>96</v>
      </c>
      <c r="AN86" s="14" t="s">
        <v>98</v>
      </c>
    </row>
    <row r="87" spans="1:40" x14ac:dyDescent="0.4">
      <c r="A87" s="83"/>
      <c r="AK87" s="14" t="s">
        <v>101</v>
      </c>
      <c r="AL87" s="14" t="s">
        <v>96</v>
      </c>
      <c r="AM87" s="14" t="s">
        <v>104</v>
      </c>
      <c r="AN87" s="14" t="s">
        <v>98</v>
      </c>
    </row>
    <row r="88" spans="1:40" x14ac:dyDescent="0.4">
      <c r="A88" s="83"/>
      <c r="AK88" s="14" t="s">
        <v>101</v>
      </c>
      <c r="AL88" s="14" t="s">
        <v>96</v>
      </c>
      <c r="AM88" s="14" t="s">
        <v>101</v>
      </c>
      <c r="AN88" s="14" t="s">
        <v>98</v>
      </c>
    </row>
    <row r="89" spans="1:40" x14ac:dyDescent="0.4">
      <c r="A89" s="83"/>
      <c r="AK89" s="14" t="s">
        <v>101</v>
      </c>
      <c r="AL89" s="14" t="s">
        <v>96</v>
      </c>
      <c r="AM89" s="14" t="s">
        <v>94</v>
      </c>
      <c r="AN89" s="14" t="s">
        <v>98</v>
      </c>
    </row>
    <row r="90" spans="1:40" x14ac:dyDescent="0.4">
      <c r="A90" s="83"/>
      <c r="AK90" s="14" t="s">
        <v>101</v>
      </c>
      <c r="AL90" s="14" t="s">
        <v>104</v>
      </c>
      <c r="AM90" s="14" t="s">
        <v>97</v>
      </c>
      <c r="AN90" s="14" t="s">
        <v>98</v>
      </c>
    </row>
    <row r="91" spans="1:40" x14ac:dyDescent="0.4">
      <c r="AK91" s="14" t="s">
        <v>101</v>
      </c>
      <c r="AL91" s="14" t="s">
        <v>104</v>
      </c>
      <c r="AM91" s="14" t="s">
        <v>96</v>
      </c>
      <c r="AN91" s="14" t="s">
        <v>98</v>
      </c>
    </row>
    <row r="92" spans="1:40" x14ac:dyDescent="0.4">
      <c r="AK92" s="14" t="s">
        <v>101</v>
      </c>
      <c r="AL92" s="14" t="s">
        <v>104</v>
      </c>
      <c r="AM92" s="14" t="s">
        <v>104</v>
      </c>
      <c r="AN92" s="14" t="s">
        <v>129</v>
      </c>
    </row>
    <row r="93" spans="1:40" x14ac:dyDescent="0.4">
      <c r="AK93" s="14" t="s">
        <v>101</v>
      </c>
      <c r="AL93" s="14" t="s">
        <v>104</v>
      </c>
      <c r="AM93" s="14" t="s">
        <v>101</v>
      </c>
      <c r="AN93" s="14" t="s">
        <v>129</v>
      </c>
    </row>
    <row r="94" spans="1:40" x14ac:dyDescent="0.4">
      <c r="AK94" s="14" t="s">
        <v>101</v>
      </c>
      <c r="AL94" s="14" t="s">
        <v>104</v>
      </c>
      <c r="AM94" s="14" t="s">
        <v>94</v>
      </c>
      <c r="AN94" s="14" t="s">
        <v>129</v>
      </c>
    </row>
    <row r="95" spans="1:40" x14ac:dyDescent="0.4">
      <c r="AK95" s="14" t="s">
        <v>101</v>
      </c>
      <c r="AL95" s="14" t="s">
        <v>101</v>
      </c>
      <c r="AM95" s="14" t="s">
        <v>97</v>
      </c>
      <c r="AN95" s="14" t="s">
        <v>98</v>
      </c>
    </row>
    <row r="96" spans="1:40" x14ac:dyDescent="0.4">
      <c r="AK96" s="14" t="s">
        <v>101</v>
      </c>
      <c r="AL96" s="14" t="s">
        <v>101</v>
      </c>
      <c r="AM96" s="14" t="s">
        <v>96</v>
      </c>
      <c r="AN96" s="14" t="s">
        <v>98</v>
      </c>
    </row>
    <row r="97" spans="37:40" x14ac:dyDescent="0.4">
      <c r="AK97" s="14" t="s">
        <v>101</v>
      </c>
      <c r="AL97" s="14" t="s">
        <v>101</v>
      </c>
      <c r="AM97" s="14" t="s">
        <v>104</v>
      </c>
      <c r="AN97" s="14" t="s">
        <v>129</v>
      </c>
    </row>
    <row r="98" spans="37:40" x14ac:dyDescent="0.4">
      <c r="AK98" s="14" t="s">
        <v>101</v>
      </c>
      <c r="AL98" s="14" t="s">
        <v>101</v>
      </c>
      <c r="AM98" s="14" t="s">
        <v>101</v>
      </c>
      <c r="AN98" s="14" t="s">
        <v>129</v>
      </c>
    </row>
    <row r="99" spans="37:40" x14ac:dyDescent="0.4">
      <c r="AK99" s="14" t="s">
        <v>101</v>
      </c>
      <c r="AL99" s="14" t="s">
        <v>101</v>
      </c>
      <c r="AM99" s="14" t="s">
        <v>94</v>
      </c>
      <c r="AN99" s="14" t="s">
        <v>129</v>
      </c>
    </row>
    <row r="100" spans="37:40" x14ac:dyDescent="0.4">
      <c r="AK100" s="14" t="s">
        <v>101</v>
      </c>
      <c r="AL100" s="14" t="s">
        <v>94</v>
      </c>
      <c r="AM100" s="14" t="s">
        <v>97</v>
      </c>
      <c r="AN100" s="14" t="s">
        <v>98</v>
      </c>
    </row>
    <row r="101" spans="37:40" x14ac:dyDescent="0.4">
      <c r="AK101" s="14" t="s">
        <v>101</v>
      </c>
      <c r="AL101" s="14" t="s">
        <v>94</v>
      </c>
      <c r="AM101" s="14" t="s">
        <v>96</v>
      </c>
      <c r="AN101" s="14" t="s">
        <v>98</v>
      </c>
    </row>
    <row r="102" spans="37:40" x14ac:dyDescent="0.4">
      <c r="AK102" s="14" t="s">
        <v>101</v>
      </c>
      <c r="AL102" s="14" t="s">
        <v>94</v>
      </c>
      <c r="AM102" s="14" t="s">
        <v>104</v>
      </c>
      <c r="AN102" s="14" t="s">
        <v>129</v>
      </c>
    </row>
    <row r="103" spans="37:40" x14ac:dyDescent="0.4">
      <c r="AK103" s="14" t="s">
        <v>101</v>
      </c>
      <c r="AL103" s="14" t="s">
        <v>94</v>
      </c>
      <c r="AM103" s="14" t="s">
        <v>101</v>
      </c>
      <c r="AN103" s="14" t="s">
        <v>129</v>
      </c>
    </row>
    <row r="104" spans="37:40" x14ac:dyDescent="0.4">
      <c r="AK104" s="14" t="s">
        <v>101</v>
      </c>
      <c r="AL104" s="14" t="s">
        <v>94</v>
      </c>
      <c r="AM104" s="14" t="s">
        <v>94</v>
      </c>
      <c r="AN104" s="14" t="s">
        <v>129</v>
      </c>
    </row>
    <row r="105" spans="37:40" x14ac:dyDescent="0.4">
      <c r="AK105" s="14" t="s">
        <v>94</v>
      </c>
      <c r="AL105" s="14" t="s">
        <v>97</v>
      </c>
      <c r="AM105" s="14" t="s">
        <v>97</v>
      </c>
      <c r="AN105" s="14" t="s">
        <v>98</v>
      </c>
    </row>
    <row r="106" spans="37:40" x14ac:dyDescent="0.4">
      <c r="AK106" s="14" t="s">
        <v>94</v>
      </c>
      <c r="AL106" s="14" t="s">
        <v>97</v>
      </c>
      <c r="AM106" s="14" t="s">
        <v>96</v>
      </c>
      <c r="AN106" s="14" t="s">
        <v>98</v>
      </c>
    </row>
    <row r="107" spans="37:40" x14ac:dyDescent="0.4">
      <c r="AK107" s="14" t="s">
        <v>94</v>
      </c>
      <c r="AL107" s="14" t="s">
        <v>97</v>
      </c>
      <c r="AM107" s="14" t="s">
        <v>104</v>
      </c>
      <c r="AN107" s="14" t="s">
        <v>98</v>
      </c>
    </row>
    <row r="108" spans="37:40" x14ac:dyDescent="0.4">
      <c r="AK108" s="14" t="s">
        <v>94</v>
      </c>
      <c r="AL108" s="14" t="s">
        <v>97</v>
      </c>
      <c r="AM108" s="14" t="s">
        <v>101</v>
      </c>
      <c r="AN108" s="14" t="s">
        <v>98</v>
      </c>
    </row>
    <row r="109" spans="37:40" x14ac:dyDescent="0.4">
      <c r="AK109" s="14" t="s">
        <v>94</v>
      </c>
      <c r="AL109" s="14" t="s">
        <v>97</v>
      </c>
      <c r="AM109" s="14" t="s">
        <v>94</v>
      </c>
      <c r="AN109" s="14" t="s">
        <v>98</v>
      </c>
    </row>
    <row r="110" spans="37:40" x14ac:dyDescent="0.4">
      <c r="AK110" s="14" t="s">
        <v>94</v>
      </c>
      <c r="AL110" s="14" t="s">
        <v>96</v>
      </c>
      <c r="AM110" s="14" t="s">
        <v>97</v>
      </c>
      <c r="AN110" s="14" t="s">
        <v>98</v>
      </c>
    </row>
    <row r="111" spans="37:40" x14ac:dyDescent="0.4">
      <c r="AK111" s="14" t="s">
        <v>94</v>
      </c>
      <c r="AL111" s="14" t="s">
        <v>96</v>
      </c>
      <c r="AM111" s="14" t="s">
        <v>96</v>
      </c>
      <c r="AN111" s="14" t="s">
        <v>98</v>
      </c>
    </row>
    <row r="112" spans="37:40" x14ac:dyDescent="0.4">
      <c r="AK112" s="14" t="s">
        <v>94</v>
      </c>
      <c r="AL112" s="14" t="s">
        <v>96</v>
      </c>
      <c r="AM112" s="14" t="s">
        <v>104</v>
      </c>
      <c r="AN112" s="14" t="s">
        <v>98</v>
      </c>
    </row>
    <row r="113" spans="37:40" x14ac:dyDescent="0.4">
      <c r="AK113" s="14" t="s">
        <v>94</v>
      </c>
      <c r="AL113" s="14" t="s">
        <v>96</v>
      </c>
      <c r="AM113" s="14" t="s">
        <v>101</v>
      </c>
      <c r="AN113" s="14" t="s">
        <v>98</v>
      </c>
    </row>
    <row r="114" spans="37:40" x14ac:dyDescent="0.4">
      <c r="AK114" s="14" t="s">
        <v>94</v>
      </c>
      <c r="AL114" s="14" t="s">
        <v>96</v>
      </c>
      <c r="AM114" s="14" t="s">
        <v>94</v>
      </c>
      <c r="AN114" s="14" t="s">
        <v>98</v>
      </c>
    </row>
    <row r="115" spans="37:40" x14ac:dyDescent="0.4">
      <c r="AK115" s="14" t="s">
        <v>94</v>
      </c>
      <c r="AL115" s="14" t="s">
        <v>104</v>
      </c>
      <c r="AM115" s="14" t="s">
        <v>97</v>
      </c>
      <c r="AN115" s="14" t="s">
        <v>98</v>
      </c>
    </row>
    <row r="116" spans="37:40" x14ac:dyDescent="0.4">
      <c r="AK116" s="14" t="s">
        <v>94</v>
      </c>
      <c r="AL116" s="14" t="s">
        <v>104</v>
      </c>
      <c r="AM116" s="14" t="s">
        <v>96</v>
      </c>
      <c r="AN116" s="14" t="s">
        <v>98</v>
      </c>
    </row>
    <row r="117" spans="37:40" x14ac:dyDescent="0.4">
      <c r="AK117" s="14" t="s">
        <v>94</v>
      </c>
      <c r="AL117" s="14" t="s">
        <v>104</v>
      </c>
      <c r="AM117" s="14" t="s">
        <v>104</v>
      </c>
      <c r="AN117" s="14" t="s">
        <v>129</v>
      </c>
    </row>
    <row r="118" spans="37:40" x14ac:dyDescent="0.4">
      <c r="AK118" s="14" t="s">
        <v>94</v>
      </c>
      <c r="AL118" s="14" t="s">
        <v>104</v>
      </c>
      <c r="AM118" s="14" t="s">
        <v>101</v>
      </c>
      <c r="AN118" s="14" t="s">
        <v>129</v>
      </c>
    </row>
    <row r="119" spans="37:40" x14ac:dyDescent="0.4">
      <c r="AK119" s="14" t="s">
        <v>94</v>
      </c>
      <c r="AL119" s="14" t="s">
        <v>104</v>
      </c>
      <c r="AM119" s="14" t="s">
        <v>94</v>
      </c>
      <c r="AN119" s="14" t="s">
        <v>129</v>
      </c>
    </row>
    <row r="120" spans="37:40" x14ac:dyDescent="0.4">
      <c r="AK120" s="14" t="s">
        <v>94</v>
      </c>
      <c r="AL120" s="14" t="s">
        <v>101</v>
      </c>
      <c r="AM120" s="14" t="s">
        <v>97</v>
      </c>
      <c r="AN120" s="14" t="s">
        <v>98</v>
      </c>
    </row>
    <row r="121" spans="37:40" x14ac:dyDescent="0.4">
      <c r="AK121" s="14" t="s">
        <v>94</v>
      </c>
      <c r="AL121" s="14" t="s">
        <v>101</v>
      </c>
      <c r="AM121" s="14" t="s">
        <v>96</v>
      </c>
      <c r="AN121" s="14" t="s">
        <v>98</v>
      </c>
    </row>
    <row r="122" spans="37:40" x14ac:dyDescent="0.4">
      <c r="AK122" s="14" t="s">
        <v>94</v>
      </c>
      <c r="AL122" s="14" t="s">
        <v>101</v>
      </c>
      <c r="AM122" s="14" t="s">
        <v>104</v>
      </c>
      <c r="AN122" s="14" t="s">
        <v>129</v>
      </c>
    </row>
    <row r="123" spans="37:40" x14ac:dyDescent="0.4">
      <c r="AK123" s="14" t="s">
        <v>94</v>
      </c>
      <c r="AL123" s="14" t="s">
        <v>101</v>
      </c>
      <c r="AM123" s="14" t="s">
        <v>101</v>
      </c>
      <c r="AN123" s="14" t="s">
        <v>129</v>
      </c>
    </row>
    <row r="124" spans="37:40" x14ac:dyDescent="0.4">
      <c r="AK124" s="14" t="s">
        <v>94</v>
      </c>
      <c r="AL124" s="14" t="s">
        <v>101</v>
      </c>
      <c r="AM124" s="14" t="s">
        <v>94</v>
      </c>
      <c r="AN124" s="14" t="s">
        <v>129</v>
      </c>
    </row>
    <row r="125" spans="37:40" x14ac:dyDescent="0.4">
      <c r="AK125" s="14" t="s">
        <v>94</v>
      </c>
      <c r="AL125" s="14" t="s">
        <v>94</v>
      </c>
      <c r="AM125" s="14" t="s">
        <v>97</v>
      </c>
      <c r="AN125" s="14" t="s">
        <v>98</v>
      </c>
    </row>
    <row r="126" spans="37:40" x14ac:dyDescent="0.4">
      <c r="AK126" s="14" t="s">
        <v>94</v>
      </c>
      <c r="AL126" s="14" t="s">
        <v>94</v>
      </c>
      <c r="AM126" s="14" t="s">
        <v>96</v>
      </c>
      <c r="AN126" s="14" t="s">
        <v>98</v>
      </c>
    </row>
    <row r="127" spans="37:40" x14ac:dyDescent="0.4">
      <c r="AK127" s="14" t="s">
        <v>94</v>
      </c>
      <c r="AL127" s="14" t="s">
        <v>94</v>
      </c>
      <c r="AM127" s="14" t="s">
        <v>104</v>
      </c>
      <c r="AN127" s="14" t="s">
        <v>129</v>
      </c>
    </row>
    <row r="128" spans="37:40" x14ac:dyDescent="0.4">
      <c r="AK128" s="14" t="s">
        <v>94</v>
      </c>
      <c r="AL128" s="14" t="s">
        <v>94</v>
      </c>
      <c r="AM128" s="14" t="s">
        <v>101</v>
      </c>
      <c r="AN128" s="14" t="s">
        <v>129</v>
      </c>
    </row>
    <row r="129" spans="37:40" x14ac:dyDescent="0.4">
      <c r="AK129" s="14" t="s">
        <v>94</v>
      </c>
      <c r="AL129" s="14" t="s">
        <v>94</v>
      </c>
      <c r="AM129" s="14" t="s">
        <v>94</v>
      </c>
      <c r="AN129" s="14" t="s">
        <v>129</v>
      </c>
    </row>
  </sheetData>
  <sheetProtection algorithmName="SHA-512" hashValue="UMA2ySrD8ahu7W7eMaZ3PeP6rRCj9klW7jDt/SdbtulnNM+DtbtYifCoScetg1Q8vsHVa022/LLYkPevumxs9w==" saltValue="uPGrZA15b93Tmqlz+opN0A==" spinCount="100000" sheet="1" objects="1" scenarios="1"/>
  <phoneticPr fontId="6" type="noConversion"/>
  <dataValidations count="2">
    <dataValidation type="decimal" allowBlank="1" showInputMessage="1" showErrorMessage="1" sqref="I21:J56 I5:J16" xr:uid="{22B9335B-0ED5-45E4-8EA3-347632BAB426}">
      <formula1>-100000</formula1>
      <formula2>100000</formula2>
    </dataValidation>
    <dataValidation type="date" allowBlank="1" showInputMessage="1" showErrorMessage="1" sqref="D5:D16 D21:D56" xr:uid="{FA710626-6C57-483F-81B6-5ACA302397F8}">
      <formula1>43831</formula1>
      <formula2>73051</formula2>
    </dataValidation>
  </dataValidations>
  <pageMargins left="0.7" right="0.7" top="0.75" bottom="0.75" header="0.3" footer="0.3"/>
  <ignoredErrors>
    <ignoredError sqref="H21:H56 H8:H16" unlockedFormula="1"/>
    <ignoredError sqref="H61:H72 I61:I73 E77:E79" calculatedColumn="1"/>
    <ignoredError sqref="F69" formulaRange="1"/>
  </ignoredErrors>
  <drawing r:id="rId1"/>
  <tableParts count="9">
    <tablePart r:id="rId2"/>
    <tablePart r:id="rId3"/>
    <tablePart r:id="rId4"/>
    <tablePart r:id="rId5"/>
    <tablePart r:id="rId6"/>
    <tablePart r:id="rId7"/>
    <tablePart r:id="rId8"/>
    <tablePart r:id="rId9"/>
    <tablePart r:id="rId10"/>
  </tableParts>
  <extLst>
    <ext xmlns:x14="http://schemas.microsoft.com/office/spreadsheetml/2009/9/main" uri="{CCE6A557-97BC-4b89-ADB6-D9C93CAAB3DF}">
      <x14:dataValidations xmlns:xm="http://schemas.microsoft.com/office/excel/2006/main" count="1">
        <x14:dataValidation type="list" allowBlank="1" showInputMessage="1" showErrorMessage="1" xr:uid="{34CD979E-E768-44FF-A6EA-57A3C26876CC}">
          <x14:formula1>
            <xm:f>'Dropdown tables - Production'!$A$2:$A$77</xm:f>
          </x14:formula1>
          <xm:sqref>C5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9ad40cc-680a-4aa6-833b-2b0486d3fb11" xsi:nil="true"/>
    <lcf76f155ced4ddcb4097134ff3c332f xmlns="3a13e49e-2ea0-4be7-98e3-a344c68ac746">
      <Terms xmlns="http://schemas.microsoft.com/office/infopath/2007/PartnerControls"/>
    </lcf76f155ced4ddcb4097134ff3c332f>
    <SharedWithUsers xmlns="99ad40cc-680a-4aa6-833b-2b0486d3fb11">
      <UserInfo>
        <DisplayName>Jean Johnson</DisplayName>
        <AccountId>92</AccountId>
        <AccountType/>
      </UserInfo>
      <UserInfo>
        <DisplayName>Froukje Kruijssen</DisplayName>
        <AccountId>48</AccountId>
        <AccountType/>
      </UserInfo>
    </SharedWithUsers>
    <MediaLengthInSeconds xmlns="3a13e49e-2ea0-4be7-98e3-a344c68ac74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4A1E9691CCDCE478904C90C6134E63D" ma:contentTypeVersion="16" ma:contentTypeDescription="Create a new document." ma:contentTypeScope="" ma:versionID="e6ffad4c1f0193b521815b0f29341fc8">
  <xsd:schema xmlns:xsd="http://www.w3.org/2001/XMLSchema" xmlns:xs="http://www.w3.org/2001/XMLSchema" xmlns:p="http://schemas.microsoft.com/office/2006/metadata/properties" xmlns:ns2="3a13e49e-2ea0-4be7-98e3-a344c68ac746" xmlns:ns3="99ad40cc-680a-4aa6-833b-2b0486d3fb11" targetNamespace="http://schemas.microsoft.com/office/2006/metadata/properties" ma:root="true" ma:fieldsID="3f933124ecdab081c75235b52203265e" ns2:_="" ns3:_="">
    <xsd:import namespace="3a13e49e-2ea0-4be7-98e3-a344c68ac746"/>
    <xsd:import namespace="99ad40cc-680a-4aa6-833b-2b0486d3fb1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3:SharedWithUsers" minOccurs="0"/>
                <xsd:element ref="ns3:SharedWithDetail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13e49e-2ea0-4be7-98e3-a344c68ac7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9ad40cc-680a-4aa6-833b-2b0486d3fb1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4e4a010c-337d-45d0-8c89-2dd73f6491b7}" ma:internalName="TaxCatchAll" ma:showField="CatchAllData" ma:web="99ad40cc-680a-4aa6-833b-2b0486d3fb11">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3EA93C-ECBC-4B88-AF0A-593021804B71}">
  <ds:schemaRefs>
    <ds:schemaRef ds:uri="http://purl.org/dc/elements/1.1/"/>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99ad40cc-680a-4aa6-833b-2b0486d3fb11"/>
    <ds:schemaRef ds:uri="3a13e49e-2ea0-4be7-98e3-a344c68ac746"/>
    <ds:schemaRef ds:uri="http://purl.org/dc/dcmitype/"/>
  </ds:schemaRefs>
</ds:datastoreItem>
</file>

<file path=customXml/itemProps2.xml><?xml version="1.0" encoding="utf-8"?>
<ds:datastoreItem xmlns:ds="http://schemas.openxmlformats.org/officeDocument/2006/customXml" ds:itemID="{2E6E7D24-43EE-47F0-9D52-535E291A1B26}">
  <ds:schemaRefs>
    <ds:schemaRef ds:uri="http://schemas.microsoft.com/sharepoint/v3/contenttype/forms"/>
  </ds:schemaRefs>
</ds:datastoreItem>
</file>

<file path=customXml/itemProps3.xml><?xml version="1.0" encoding="utf-8"?>
<ds:datastoreItem xmlns:ds="http://schemas.openxmlformats.org/officeDocument/2006/customXml" ds:itemID="{A1741C24-96CD-4B0F-8CB8-A639FAF97B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a13e49e-2ea0-4be7-98e3-a344c68ac746"/>
    <ds:schemaRef ds:uri="99ad40cc-680a-4aa6-833b-2b0486d3fb1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Start page - Production data</vt:lpstr>
      <vt:lpstr>Reporting overview</vt:lpstr>
      <vt:lpstr>Site and production details</vt:lpstr>
      <vt:lpstr>Known escapes</vt:lpstr>
      <vt:lpstr>Benthic - MB Level 1 &amp; 2</vt:lpstr>
      <vt:lpstr>Benthic - MB Level 3</vt:lpstr>
      <vt:lpstr>Benthic - M  Level 1 &amp; 2</vt:lpstr>
      <vt:lpstr>Benthic - M  Level 3</vt:lpstr>
      <vt:lpstr>Benthic - L&amp;R Level 1 &amp; 2</vt:lpstr>
      <vt:lpstr>Benthic - L&amp;R  Level 3</vt:lpstr>
      <vt:lpstr>Feed</vt:lpstr>
      <vt:lpstr>Mortality</vt:lpstr>
      <vt:lpstr>Veterinary therapeutants</vt:lpstr>
      <vt:lpstr>Dropdown tables - Production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2025-11-11T16:04:36Z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0x010100E4A1E9691CCDCE478904C90C6134E63D</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