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drawings/drawing2.xml" ContentType="application/vnd.openxmlformats-officedocument.drawing+xml"/>
  <Override PartName="/xl/tables/table2.xml" ContentType="application/vnd.openxmlformats-officedocument.spreadsheetml.table+xml"/>
  <Override PartName="/xl/tables/table3.xml" ContentType="application/vnd.openxmlformats-officedocument.spreadsheetml.table+xml"/>
  <Override PartName="/xl/drawings/drawing3.xml" ContentType="application/vnd.openxmlformats-officedocument.drawing+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drawings/drawing4.xml" ContentType="application/vnd.openxmlformats-officedocument.drawing+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drawings/drawing5.xml" ContentType="application/vnd.openxmlformats-officedocument.drawing+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drawings/drawing6.xml" ContentType="application/vnd.openxmlformats-officedocument.drawing+xml"/>
  <Override PartName="/xl/tables/table27.xml" ContentType="application/vnd.openxmlformats-officedocument.spreadsheetml.table+xml"/>
  <Override PartName="/xl/tables/table28.xml" ContentType="application/vnd.openxmlformats-officedocument.spreadsheetml.table+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drawings/drawing7.xml" ContentType="application/vnd.openxmlformats-officedocument.drawing+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8.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drawings/drawing9.xml" ContentType="application/vnd.openxmlformats-officedocument.drawing+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comments1.xml" ContentType="application/vnd.openxmlformats-officedocument.spreadsheetml.comments+xml"/>
  <Override PartName="/xl/drawings/drawing10.xml" ContentType="application/vnd.openxmlformats-officedocument.drawing+xml"/>
  <Override PartName="/xl/tables/table55.xml" ContentType="application/vnd.openxmlformats-officedocument.spreadsheetml.table+xml"/>
  <Override PartName="/xl/tables/table56.xml" ContentType="application/vnd.openxmlformats-officedocument.spreadsheetml.table+xml"/>
  <Override PartName="/xl/drawings/drawing11.xml" ContentType="application/vnd.openxmlformats-officedocument.drawing+xml"/>
  <Override PartName="/xl/tables/table57.xml" ContentType="application/vnd.openxmlformats-officedocument.spreadsheetml.table+xml"/>
  <Override PartName="/xl/drawings/drawing12.xml" ContentType="application/vnd.openxmlformats-officedocument.drawing+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drawings/drawing13.xml" ContentType="application/vnd.openxmlformats-officedocument.drawing+xml"/>
  <Override PartName="/xl/tables/table61.xml" ContentType="application/vnd.openxmlformats-officedocument.spreadsheetml.table+xml"/>
  <Override PartName="/xl/drawings/drawing14.xml" ContentType="application/vnd.openxmlformats-officedocument.drawing+xml"/>
  <Override PartName="/xl/comments2.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codeName="ThisWorkbook" hidePivotFieldList="1" defaultThemeVersion="166925"/>
  <mc:AlternateContent xmlns:mc="http://schemas.openxmlformats.org/markup-compatibility/2006">
    <mc:Choice Requires="x15">
      <x15ac:absPath xmlns:x15ac="http://schemas.microsoft.com/office/spreadsheetml/2010/11/ac" url="https://ascaqua.sharepoint.com/sites/ImpactsME/Shared Documents/General/08_Data reporting and submissions/Data reporting templates/Farm standard - Reporting templates and forms/Production template derivatives/All-in All-out/"/>
    </mc:Choice>
  </mc:AlternateContent>
  <xr:revisionPtr revIDLastSave="77" documentId="8_{6A19BF6B-F0B5-45C2-B41E-E66AD6FB753C}" xr6:coauthVersionLast="47" xr6:coauthVersionMax="47" xr10:uidLastSave="{B93C5B36-3995-48DA-AACB-DC9A1AAB6B85}"/>
  <workbookProtection workbookAlgorithmName="SHA-512" workbookHashValue="+lnnXcSrRBMNPPvv2OUgJof0mXLjPimiIKmxwCl/xs5Fda0Dng2ELISXGNuzEzfYOVjnlJi21PO3QWiXTMawtA==" workbookSaltValue="ltpwAXscqjJ1nlEusvaO/A==" workbookSpinCount="100000" lockStructure="1"/>
  <bookViews>
    <workbookView xWindow="-108" yWindow="-108" windowWidth="23256" windowHeight="12456" tabRatio="685" xr2:uid="{FD32E8E5-3906-4D8A-850C-0BF6599CF705}"/>
  </bookViews>
  <sheets>
    <sheet name="Start page - Production data" sheetId="32" r:id="rId1"/>
    <sheet name="Reporting overview" sheetId="29" r:id="rId2"/>
    <sheet name="Site and production details" sheetId="24" r:id="rId3"/>
    <sheet name="Known escapes" sheetId="9" state="hidden" r:id="rId4"/>
    <sheet name="Benthic - MB Level 1 &amp; 2" sheetId="41" state="hidden" r:id="rId5"/>
    <sheet name="Benthic - MB Level 3" sheetId="39" state="hidden" r:id="rId6"/>
    <sheet name="Benthic - M  Level 1 &amp; 2" sheetId="27" state="hidden" r:id="rId7"/>
    <sheet name="Benthic - M  Level 3" sheetId="56" state="hidden" r:id="rId8"/>
    <sheet name="Benthic - L&amp;R Level 1 &amp; 2" sheetId="52" state="hidden" r:id="rId9"/>
    <sheet name="Benthic - L&amp;R  Level 3" sheetId="53" state="hidden" r:id="rId10"/>
    <sheet name="Feed" sheetId="12" r:id="rId11"/>
    <sheet name="Mortality" sheetId="37" r:id="rId12"/>
    <sheet name="Mortality - Cleaner fish" sheetId="57" state="hidden" r:id="rId13"/>
    <sheet name="Veterinary therapeutants" sheetId="17" r:id="rId14"/>
    <sheet name="Sea lice reporting" sheetId="49" state="hidden" r:id="rId15"/>
    <sheet name="Dropdown tables - Production" sheetId="33" state="hidden" r:id="rId16"/>
  </sheets>
  <definedNames>
    <definedName name="_xlnm._FilterDatabase" localSheetId="1" hidden="1">'Reporting overview'!$B$3:$D$10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6" i="17" l="1"/>
  <c r="Q7" i="17"/>
  <c r="Q8" i="17"/>
  <c r="Q9" i="17"/>
  <c r="Q10" i="17"/>
  <c r="Q11" i="17"/>
  <c r="Q12" i="17"/>
  <c r="Q13" i="17"/>
  <c r="Q14" i="17"/>
  <c r="Q15" i="17"/>
  <c r="Q16" i="17"/>
  <c r="Q17" i="17"/>
  <c r="Q18" i="17"/>
  <c r="Q19" i="17"/>
  <c r="Q20" i="17"/>
  <c r="Q21" i="17"/>
  <c r="Q22" i="17"/>
  <c r="Q23" i="17"/>
  <c r="Q24" i="17"/>
  <c r="Q25" i="17"/>
  <c r="Q26" i="17"/>
  <c r="Q27" i="17"/>
  <c r="R5" i="17"/>
  <c r="S5" i="17"/>
  <c r="T5" i="17"/>
  <c r="U5" i="17"/>
  <c r="V5" i="17"/>
  <c r="W5" i="17"/>
  <c r="Q5" i="17"/>
  <c r="Y192" i="12" l="1"/>
  <c r="Z192" i="12"/>
  <c r="AA192" i="12"/>
  <c r="AB192" i="12"/>
  <c r="AC192" i="12"/>
  <c r="Y193" i="12"/>
  <c r="Z193" i="12"/>
  <c r="AA193" i="12"/>
  <c r="AB193" i="12"/>
  <c r="AC193" i="12"/>
  <c r="Y194" i="12"/>
  <c r="Z194" i="12"/>
  <c r="AA194" i="12"/>
  <c r="AB194" i="12"/>
  <c r="AC194" i="12"/>
  <c r="Y195" i="12"/>
  <c r="Z195" i="12"/>
  <c r="AA195" i="12"/>
  <c r="AB195" i="12"/>
  <c r="AC195" i="12"/>
  <c r="Y196" i="12"/>
  <c r="Z196" i="12"/>
  <c r="AA196" i="12"/>
  <c r="AB196" i="12"/>
  <c r="AC196" i="12"/>
  <c r="Y197" i="12"/>
  <c r="Z197" i="12"/>
  <c r="AA197" i="12"/>
  <c r="AB197" i="12"/>
  <c r="AC197" i="12"/>
  <c r="Y198" i="12"/>
  <c r="Z198" i="12"/>
  <c r="AA198" i="12"/>
  <c r="AB198" i="12"/>
  <c r="AC198" i="12"/>
  <c r="Y199" i="12"/>
  <c r="Z199" i="12"/>
  <c r="AA199" i="12"/>
  <c r="AB199" i="12"/>
  <c r="AC199" i="12"/>
  <c r="Y200" i="12"/>
  <c r="Z200" i="12"/>
  <c r="AA200" i="12"/>
  <c r="AB200" i="12"/>
  <c r="AC200" i="12"/>
  <c r="Y201" i="12"/>
  <c r="Z201" i="12"/>
  <c r="AA201" i="12"/>
  <c r="AB201" i="12"/>
  <c r="AC201" i="12"/>
  <c r="Y202" i="12"/>
  <c r="Z202" i="12"/>
  <c r="AA202" i="12"/>
  <c r="AB202" i="12"/>
  <c r="AC202" i="12"/>
  <c r="Y203" i="12"/>
  <c r="Z203" i="12"/>
  <c r="AA203" i="12"/>
  <c r="AB203" i="12"/>
  <c r="AC203" i="12"/>
  <c r="Y204" i="12"/>
  <c r="Z204" i="12"/>
  <c r="AA204" i="12"/>
  <c r="AB204" i="12"/>
  <c r="AC204" i="12"/>
  <c r="Y205" i="12"/>
  <c r="Z205" i="12"/>
  <c r="AA205" i="12"/>
  <c r="AB205" i="12"/>
  <c r="AC205" i="12"/>
  <c r="Y206" i="12"/>
  <c r="Z206" i="12"/>
  <c r="AA206" i="12"/>
  <c r="AB206" i="12"/>
  <c r="AC206" i="12"/>
  <c r="Y207" i="12"/>
  <c r="Z207" i="12"/>
  <c r="AA207" i="12"/>
  <c r="AB207" i="12"/>
  <c r="AC207" i="12"/>
  <c r="Y208" i="12"/>
  <c r="Z208" i="12"/>
  <c r="AA208" i="12"/>
  <c r="AB208" i="12"/>
  <c r="AC208" i="12"/>
  <c r="Y209" i="12"/>
  <c r="Z209" i="12"/>
  <c r="AA209" i="12"/>
  <c r="AB209" i="12"/>
  <c r="AC209" i="12"/>
  <c r="Y210" i="12"/>
  <c r="Z210" i="12"/>
  <c r="AA210" i="12"/>
  <c r="AB210" i="12"/>
  <c r="AC210" i="12"/>
  <c r="Y211" i="12"/>
  <c r="Z211" i="12"/>
  <c r="AA211" i="12"/>
  <c r="AB211" i="12"/>
  <c r="AC211" i="12"/>
  <c r="Y212" i="12"/>
  <c r="Z212" i="12"/>
  <c r="AA212" i="12"/>
  <c r="AB212" i="12"/>
  <c r="AC212" i="12"/>
  <c r="Y213" i="12"/>
  <c r="Z213" i="12"/>
  <c r="AA213" i="12"/>
  <c r="AB213" i="12"/>
  <c r="AC213" i="12"/>
  <c r="Y214" i="12"/>
  <c r="Z214" i="12"/>
  <c r="AA214" i="12"/>
  <c r="AB214" i="12"/>
  <c r="AC214" i="12"/>
  <c r="Y215" i="12"/>
  <c r="Z215" i="12"/>
  <c r="AA215" i="12"/>
  <c r="AB215" i="12"/>
  <c r="AC215" i="12"/>
  <c r="Y216" i="12"/>
  <c r="Z216" i="12"/>
  <c r="AA216" i="12"/>
  <c r="AB216" i="12"/>
  <c r="AC216" i="12"/>
  <c r="Y217" i="12"/>
  <c r="Z217" i="12"/>
  <c r="AA217" i="12"/>
  <c r="AB217" i="12"/>
  <c r="AC217" i="12"/>
  <c r="Y218" i="12"/>
  <c r="Z218" i="12"/>
  <c r="AA218" i="12"/>
  <c r="AB218" i="12"/>
  <c r="AC218" i="12"/>
  <c r="Y219" i="12"/>
  <c r="Z219" i="12"/>
  <c r="AA219" i="12"/>
  <c r="AB219" i="12"/>
  <c r="AC219" i="12"/>
  <c r="Y220" i="12"/>
  <c r="Z220" i="12"/>
  <c r="AA220" i="12"/>
  <c r="AB220" i="12"/>
  <c r="AC220" i="12"/>
  <c r="Y221" i="12"/>
  <c r="Z221" i="12"/>
  <c r="AA221" i="12"/>
  <c r="AB221" i="12"/>
  <c r="AC221" i="12"/>
  <c r="Y222" i="12"/>
  <c r="Z222" i="12"/>
  <c r="AA222" i="12"/>
  <c r="AB222" i="12"/>
  <c r="AC222" i="12"/>
  <c r="Y223" i="12"/>
  <c r="Z223" i="12"/>
  <c r="AA223" i="12"/>
  <c r="AB223" i="12"/>
  <c r="AC223" i="12"/>
  <c r="Y224" i="12"/>
  <c r="Z224" i="12"/>
  <c r="AA224" i="12"/>
  <c r="AB224" i="12"/>
  <c r="AC224" i="12"/>
  <c r="Y225" i="12"/>
  <c r="Z225" i="12"/>
  <c r="AA225" i="12"/>
  <c r="AB225" i="12"/>
  <c r="AC225" i="12"/>
  <c r="Y226" i="12"/>
  <c r="Z226" i="12"/>
  <c r="AA226" i="12"/>
  <c r="AB226" i="12"/>
  <c r="AC226" i="12"/>
  <c r="Y227" i="12"/>
  <c r="Z227" i="12"/>
  <c r="AA227" i="12"/>
  <c r="AB227" i="12"/>
  <c r="AC227" i="12"/>
  <c r="Y228" i="12"/>
  <c r="Z228" i="12"/>
  <c r="AA228" i="12"/>
  <c r="AB228" i="12"/>
  <c r="AC228" i="12"/>
  <c r="Y229" i="12"/>
  <c r="Z229" i="12"/>
  <c r="AA229" i="12"/>
  <c r="AB229" i="12"/>
  <c r="AC229" i="12"/>
  <c r="Y230" i="12"/>
  <c r="Z230" i="12"/>
  <c r="AA230" i="12"/>
  <c r="AB230" i="12"/>
  <c r="AC230" i="12"/>
  <c r="Y231" i="12"/>
  <c r="Z231" i="12"/>
  <c r="AA231" i="12"/>
  <c r="AB231" i="12"/>
  <c r="AC231" i="12"/>
  <c r="Y232" i="12"/>
  <c r="Z232" i="12"/>
  <c r="AA232" i="12"/>
  <c r="AB232" i="12"/>
  <c r="AC232" i="12"/>
  <c r="Y233" i="12"/>
  <c r="Z233" i="12"/>
  <c r="AA233" i="12"/>
  <c r="AB233" i="12"/>
  <c r="AC233" i="12"/>
  <c r="Y234" i="12"/>
  <c r="Z234" i="12"/>
  <c r="AA234" i="12"/>
  <c r="AB234" i="12"/>
  <c r="AC234" i="12"/>
  <c r="Y235" i="12"/>
  <c r="Z235" i="12"/>
  <c r="AA235" i="12"/>
  <c r="AB235" i="12"/>
  <c r="AC235" i="12"/>
  <c r="Y236" i="12"/>
  <c r="Z236" i="12"/>
  <c r="AA236" i="12"/>
  <c r="AB236" i="12"/>
  <c r="AC236" i="12"/>
  <c r="Y237" i="12"/>
  <c r="Z237" i="12"/>
  <c r="AA237" i="12"/>
  <c r="AB237" i="12"/>
  <c r="AC237" i="12"/>
  <c r="Y238" i="12"/>
  <c r="Z238" i="12"/>
  <c r="AA238" i="12"/>
  <c r="AB238" i="12"/>
  <c r="AC238" i="12"/>
  <c r="Y239" i="12"/>
  <c r="Z239" i="12"/>
  <c r="AA239" i="12"/>
  <c r="AB239" i="12"/>
  <c r="AC239" i="12"/>
  <c r="Y240" i="12"/>
  <c r="Z240" i="12"/>
  <c r="AA240" i="12"/>
  <c r="AB240" i="12"/>
  <c r="AC240" i="12"/>
  <c r="Y241" i="12"/>
  <c r="Z241" i="12"/>
  <c r="AA241" i="12"/>
  <c r="AB241" i="12"/>
  <c r="AC241" i="12"/>
  <c r="Y242" i="12"/>
  <c r="Z242" i="12"/>
  <c r="AA242" i="12"/>
  <c r="AB242" i="12"/>
  <c r="AC242" i="12"/>
  <c r="Y243" i="12"/>
  <c r="Z243" i="12"/>
  <c r="AA243" i="12"/>
  <c r="AB243" i="12"/>
  <c r="AC243" i="12"/>
  <c r="Y244" i="12"/>
  <c r="Z244" i="12"/>
  <c r="AA244" i="12"/>
  <c r="AB244" i="12"/>
  <c r="AC244" i="12"/>
  <c r="Y245" i="12"/>
  <c r="Z245" i="12"/>
  <c r="AA245" i="12"/>
  <c r="AB245" i="12"/>
  <c r="AC245" i="12"/>
  <c r="Y246" i="12"/>
  <c r="Z246" i="12"/>
  <c r="AA246" i="12"/>
  <c r="AB246" i="12"/>
  <c r="AC246" i="12"/>
  <c r="Y247" i="12"/>
  <c r="Z247" i="12"/>
  <c r="AA247" i="12"/>
  <c r="AB247" i="12"/>
  <c r="AC247" i="12"/>
  <c r="Y248" i="12"/>
  <c r="Z248" i="12"/>
  <c r="AA248" i="12"/>
  <c r="AB248" i="12"/>
  <c r="AC248" i="12"/>
  <c r="Y249" i="12"/>
  <c r="Z249" i="12"/>
  <c r="AA249" i="12"/>
  <c r="AB249" i="12"/>
  <c r="AC249" i="12"/>
  <c r="Y250" i="12"/>
  <c r="Z250" i="12"/>
  <c r="AA250" i="12"/>
  <c r="AB250" i="12"/>
  <c r="AC250" i="12"/>
  <c r="Y251" i="12"/>
  <c r="Z251" i="12"/>
  <c r="AA251" i="12"/>
  <c r="AB251" i="12"/>
  <c r="AC251" i="12"/>
  <c r="Y252" i="12"/>
  <c r="Z252" i="12"/>
  <c r="AA252" i="12"/>
  <c r="AB252" i="12"/>
  <c r="AC252" i="12"/>
  <c r="Y253" i="12"/>
  <c r="Z253" i="12"/>
  <c r="AA253" i="12"/>
  <c r="AB253" i="12"/>
  <c r="AC253" i="12"/>
  <c r="Y254" i="12"/>
  <c r="Z254" i="12"/>
  <c r="AA254" i="12"/>
  <c r="AB254" i="12"/>
  <c r="AC254" i="12"/>
  <c r="Y255" i="12"/>
  <c r="Z255" i="12"/>
  <c r="AA255" i="12"/>
  <c r="AB255" i="12"/>
  <c r="AC255" i="12"/>
  <c r="Y256" i="12"/>
  <c r="Z256" i="12"/>
  <c r="AA256" i="12"/>
  <c r="AB256" i="12"/>
  <c r="AC256" i="12"/>
  <c r="Y257" i="12"/>
  <c r="Z257" i="12"/>
  <c r="AA257" i="12"/>
  <c r="AB257" i="12"/>
  <c r="AC257" i="12"/>
  <c r="Y258" i="12"/>
  <c r="Z258" i="12"/>
  <c r="AA258" i="12"/>
  <c r="AB258" i="12"/>
  <c r="AC258" i="12"/>
  <c r="Y259" i="12"/>
  <c r="Z259" i="12"/>
  <c r="AA259" i="12"/>
  <c r="AB259" i="12"/>
  <c r="AC259" i="12"/>
  <c r="Y260" i="12"/>
  <c r="Z260" i="12"/>
  <c r="AA260" i="12"/>
  <c r="AB260" i="12"/>
  <c r="AC260" i="12"/>
  <c r="Y261" i="12"/>
  <c r="Z261" i="12"/>
  <c r="AA261" i="12"/>
  <c r="AB261" i="12"/>
  <c r="AC261" i="12"/>
  <c r="Y262" i="12"/>
  <c r="Z262" i="12"/>
  <c r="AA262" i="12"/>
  <c r="AB262" i="12"/>
  <c r="AC262" i="12"/>
  <c r="Y263" i="12"/>
  <c r="Z263" i="12"/>
  <c r="AA263" i="12"/>
  <c r="AB263" i="12"/>
  <c r="AC263" i="12"/>
  <c r="Y264" i="12"/>
  <c r="Z264" i="12"/>
  <c r="AA264" i="12"/>
  <c r="AB264" i="12"/>
  <c r="AC264" i="12"/>
  <c r="Y265" i="12"/>
  <c r="Z265" i="12"/>
  <c r="AA265" i="12"/>
  <c r="AB265" i="12"/>
  <c r="AC265" i="12"/>
  <c r="Y266" i="12"/>
  <c r="Z266" i="12"/>
  <c r="AA266" i="12"/>
  <c r="AB266" i="12"/>
  <c r="AC266" i="12"/>
  <c r="Y267" i="12"/>
  <c r="Z267" i="12"/>
  <c r="AA267" i="12"/>
  <c r="AB267" i="12"/>
  <c r="AC267" i="12"/>
  <c r="Y268" i="12"/>
  <c r="Z268" i="12"/>
  <c r="AA268" i="12"/>
  <c r="AB268" i="12"/>
  <c r="AC268" i="12"/>
  <c r="Y269" i="12"/>
  <c r="Z269" i="12"/>
  <c r="AA269" i="12"/>
  <c r="AB269" i="12"/>
  <c r="AC269" i="12"/>
  <c r="Y270" i="12"/>
  <c r="Z270" i="12"/>
  <c r="AA270" i="12"/>
  <c r="AB270" i="12"/>
  <c r="AC270" i="12"/>
  <c r="Q30" i="12"/>
  <c r="R30" i="12" s="1"/>
  <c r="S30" i="12" s="1"/>
  <c r="Q31" i="12"/>
  <c r="R31" i="12" s="1"/>
  <c r="S31" i="12" s="1"/>
  <c r="Q32" i="12"/>
  <c r="R32" i="12" s="1"/>
  <c r="S32" i="12" s="1"/>
  <c r="U32" i="12" s="1"/>
  <c r="Q33" i="12"/>
  <c r="R33" i="12" s="1"/>
  <c r="S33" i="12" s="1"/>
  <c r="Q34" i="12"/>
  <c r="R34" i="12" s="1"/>
  <c r="Q35" i="12"/>
  <c r="R35" i="12" s="1"/>
  <c r="Q36" i="12"/>
  <c r="R36" i="12" s="1"/>
  <c r="S36" i="12" s="1"/>
  <c r="Q37" i="12"/>
  <c r="R37" i="12" s="1"/>
  <c r="Q38" i="12"/>
  <c r="W38" i="12" s="1"/>
  <c r="Q39" i="12"/>
  <c r="R39" i="12" s="1"/>
  <c r="S39" i="12" s="1"/>
  <c r="V39" i="12" s="1"/>
  <c r="Q40" i="12"/>
  <c r="R40" i="12" s="1"/>
  <c r="Q41" i="12"/>
  <c r="R41" i="12" s="1"/>
  <c r="Q42" i="12"/>
  <c r="R42" i="12" s="1"/>
  <c r="Q43" i="12"/>
  <c r="R43" i="12" s="1"/>
  <c r="S43" i="12" s="1"/>
  <c r="Q44" i="12"/>
  <c r="R44" i="12" s="1"/>
  <c r="S44" i="12" s="1"/>
  <c r="U44" i="12" s="1"/>
  <c r="Q45" i="12"/>
  <c r="R45" i="12" s="1"/>
  <c r="Q46" i="12"/>
  <c r="R46" i="12"/>
  <c r="S46" i="12" s="1"/>
  <c r="Q47" i="12"/>
  <c r="R47" i="12" s="1"/>
  <c r="Q48" i="12"/>
  <c r="R48" i="12"/>
  <c r="Q49" i="12"/>
  <c r="R49" i="12" s="1"/>
  <c r="S49" i="12" s="1"/>
  <c r="Q50" i="12"/>
  <c r="R50" i="12" s="1"/>
  <c r="S50" i="12" s="1"/>
  <c r="U50" i="12" s="1"/>
  <c r="Q51" i="12"/>
  <c r="R51" i="12" s="1"/>
  <c r="Q52" i="12"/>
  <c r="R52" i="12" s="1"/>
  <c r="S52" i="12" s="1"/>
  <c r="Q53" i="12"/>
  <c r="R53" i="12" s="1"/>
  <c r="Q54" i="12"/>
  <c r="X54" i="12" s="1"/>
  <c r="Q55" i="12"/>
  <c r="R55" i="12" s="1"/>
  <c r="Q56" i="12"/>
  <c r="R56" i="12"/>
  <c r="Q57" i="12"/>
  <c r="R57" i="12" s="1"/>
  <c r="X57" i="12"/>
  <c r="Q58" i="12"/>
  <c r="R58" i="12" s="1"/>
  <c r="Q59" i="12"/>
  <c r="R59" i="12" s="1"/>
  <c r="S59" i="12" s="1"/>
  <c r="Q60" i="12"/>
  <c r="R60" i="12" s="1"/>
  <c r="Q61" i="12"/>
  <c r="X61" i="12" s="1"/>
  <c r="Q62" i="12"/>
  <c r="W62" i="12" s="1"/>
  <c r="Q63" i="12"/>
  <c r="X63" i="12" s="1"/>
  <c r="R63" i="12"/>
  <c r="W63" i="12"/>
  <c r="Q64" i="12"/>
  <c r="R64" i="12" s="1"/>
  <c r="Q65" i="12"/>
  <c r="W65" i="12" s="1"/>
  <c r="Q66" i="12"/>
  <c r="R66" i="12" s="1"/>
  <c r="Q67" i="12"/>
  <c r="X67" i="12" s="1"/>
  <c r="R67" i="12"/>
  <c r="S67" i="12" s="1"/>
  <c r="Q68" i="12"/>
  <c r="R68" i="12" s="1"/>
  <c r="S68" i="12" s="1"/>
  <c r="Q69" i="12"/>
  <c r="R69" i="12"/>
  <c r="Q70" i="12"/>
  <c r="R70" i="12" s="1"/>
  <c r="N30" i="12"/>
  <c r="N31" i="12"/>
  <c r="N32" i="12"/>
  <c r="N33" i="12"/>
  <c r="N34" i="12"/>
  <c r="N35" i="12"/>
  <c r="N36" i="12"/>
  <c r="N37" i="12"/>
  <c r="N38" i="12"/>
  <c r="N39" i="12"/>
  <c r="N40" i="12"/>
  <c r="N41" i="12"/>
  <c r="N42" i="12"/>
  <c r="N43" i="12"/>
  <c r="N44" i="12"/>
  <c r="N45" i="12"/>
  <c r="N46" i="12"/>
  <c r="N47" i="12"/>
  <c r="N48" i="12"/>
  <c r="N49" i="12"/>
  <c r="N50" i="12"/>
  <c r="N51" i="12"/>
  <c r="N52" i="12"/>
  <c r="N53" i="12"/>
  <c r="N54" i="12"/>
  <c r="N55" i="12"/>
  <c r="N56" i="12"/>
  <c r="N57" i="12"/>
  <c r="N58" i="12"/>
  <c r="N59" i="12"/>
  <c r="N60" i="12"/>
  <c r="N61" i="12"/>
  <c r="N62" i="12"/>
  <c r="N63" i="12"/>
  <c r="N64" i="12"/>
  <c r="N65" i="12"/>
  <c r="N66" i="12"/>
  <c r="N67" i="12"/>
  <c r="N68" i="12"/>
  <c r="N69" i="12"/>
  <c r="N70" i="12"/>
  <c r="Y76" i="12"/>
  <c r="Y77" i="12"/>
  <c r="Y78" i="12"/>
  <c r="Y79" i="12"/>
  <c r="Y80" i="12"/>
  <c r="Y81" i="12"/>
  <c r="Y82" i="12"/>
  <c r="Y83" i="12"/>
  <c r="Y84" i="12"/>
  <c r="Y85" i="12"/>
  <c r="Y86" i="12"/>
  <c r="Y87" i="12"/>
  <c r="Y88" i="12"/>
  <c r="Y89" i="12"/>
  <c r="Y90" i="12"/>
  <c r="Y91" i="12"/>
  <c r="Y92" i="12"/>
  <c r="Y93" i="12"/>
  <c r="Y94" i="12"/>
  <c r="Y95" i="12"/>
  <c r="Y96" i="12"/>
  <c r="Y97" i="12"/>
  <c r="Y98" i="12"/>
  <c r="Y99" i="12"/>
  <c r="Y100" i="12"/>
  <c r="Y101" i="12"/>
  <c r="Y102" i="12"/>
  <c r="Y103" i="12"/>
  <c r="Y104" i="12"/>
  <c r="Y105" i="12"/>
  <c r="Y106" i="12"/>
  <c r="Y107" i="12"/>
  <c r="Y108" i="12"/>
  <c r="Y109" i="12"/>
  <c r="Y110" i="12"/>
  <c r="Y111" i="12"/>
  <c r="Y112" i="12"/>
  <c r="Y113" i="12"/>
  <c r="Y114" i="12"/>
  <c r="Y115" i="12"/>
  <c r="Y116" i="12"/>
  <c r="Y117" i="12"/>
  <c r="Y118" i="12"/>
  <c r="Y119" i="12"/>
  <c r="Y120" i="12"/>
  <c r="Y121" i="12"/>
  <c r="Y122" i="12"/>
  <c r="Y123" i="12"/>
  <c r="Y124" i="12"/>
  <c r="Y125" i="12"/>
  <c r="Y126" i="12"/>
  <c r="Y127" i="12"/>
  <c r="Y128" i="12"/>
  <c r="Y129" i="12"/>
  <c r="Y130" i="12"/>
  <c r="Y131" i="12"/>
  <c r="Y132" i="12"/>
  <c r="Y133" i="12"/>
  <c r="Y134" i="12"/>
  <c r="Y135" i="12"/>
  <c r="Y136" i="12"/>
  <c r="Y137" i="12"/>
  <c r="Y138" i="12"/>
  <c r="Y139" i="12"/>
  <c r="Y140" i="12"/>
  <c r="Y141" i="12"/>
  <c r="Y142" i="12"/>
  <c r="Y143" i="12"/>
  <c r="Y144" i="12"/>
  <c r="Y145" i="12"/>
  <c r="Y146" i="12"/>
  <c r="Y147" i="12"/>
  <c r="Y148" i="12"/>
  <c r="Y149" i="12"/>
  <c r="Y150" i="12"/>
  <c r="Y151" i="12"/>
  <c r="Y152" i="12"/>
  <c r="Y153" i="12"/>
  <c r="Y154" i="12"/>
  <c r="Y155" i="12"/>
  <c r="Y156" i="12"/>
  <c r="Y157" i="12"/>
  <c r="Y158" i="12"/>
  <c r="Y159" i="12"/>
  <c r="Y160" i="12"/>
  <c r="Y161" i="12"/>
  <c r="Y162" i="12"/>
  <c r="Y163" i="12"/>
  <c r="Y164" i="12"/>
  <c r="Y165" i="12"/>
  <c r="Y166" i="12"/>
  <c r="Y167" i="12"/>
  <c r="Y168" i="12"/>
  <c r="Y169" i="12"/>
  <c r="Y170" i="12"/>
  <c r="Y171" i="12"/>
  <c r="Y172" i="12"/>
  <c r="Y173" i="12"/>
  <c r="Y174" i="12"/>
  <c r="Y175" i="12"/>
  <c r="Y176" i="12"/>
  <c r="Y177" i="12"/>
  <c r="Y178" i="12"/>
  <c r="Y179" i="12"/>
  <c r="Y180" i="12"/>
  <c r="Y181" i="12"/>
  <c r="Y182" i="12"/>
  <c r="Y183" i="12"/>
  <c r="Y184" i="12"/>
  <c r="Y185" i="12"/>
  <c r="Y186" i="12"/>
  <c r="Y187" i="12"/>
  <c r="Y188" i="12"/>
  <c r="Y189" i="12"/>
  <c r="Y190" i="12"/>
  <c r="Y191" i="12"/>
  <c r="Z76" i="12"/>
  <c r="Z77" i="12"/>
  <c r="Z78" i="12"/>
  <c r="Z79" i="12"/>
  <c r="Z80" i="12"/>
  <c r="Z81" i="12"/>
  <c r="Z82" i="12"/>
  <c r="Z83" i="12"/>
  <c r="Z84" i="12"/>
  <c r="Z85" i="12"/>
  <c r="Z86" i="12"/>
  <c r="Z87" i="12"/>
  <c r="Z88" i="12"/>
  <c r="Z89" i="12"/>
  <c r="Z90" i="12"/>
  <c r="Z91" i="12"/>
  <c r="Z92" i="12"/>
  <c r="Z93" i="12"/>
  <c r="Z94" i="12"/>
  <c r="Z95" i="12"/>
  <c r="Z96" i="12"/>
  <c r="Z97" i="12"/>
  <c r="Z98" i="12"/>
  <c r="Z99" i="12"/>
  <c r="Z100" i="12"/>
  <c r="Z101" i="12"/>
  <c r="Z102" i="12"/>
  <c r="Z103" i="12"/>
  <c r="Z104" i="12"/>
  <c r="Z105" i="12"/>
  <c r="Z106" i="12"/>
  <c r="Z107" i="12"/>
  <c r="Z108" i="12"/>
  <c r="Z109" i="12"/>
  <c r="Z110" i="12"/>
  <c r="Z111" i="12"/>
  <c r="Z112" i="12"/>
  <c r="Z113" i="12"/>
  <c r="Z114" i="12"/>
  <c r="Z115" i="12"/>
  <c r="Z116" i="12"/>
  <c r="Z117" i="12"/>
  <c r="Z118" i="12"/>
  <c r="Z119" i="12"/>
  <c r="Z120" i="12"/>
  <c r="Z121" i="12"/>
  <c r="Z122" i="12"/>
  <c r="Z123" i="12"/>
  <c r="Z124" i="12"/>
  <c r="Z125" i="12"/>
  <c r="Z126" i="12"/>
  <c r="Z127" i="12"/>
  <c r="Z128" i="12"/>
  <c r="Z129" i="12"/>
  <c r="Z130" i="12"/>
  <c r="Z131" i="12"/>
  <c r="Z132" i="12"/>
  <c r="Z133" i="12"/>
  <c r="Z134" i="12"/>
  <c r="Z135" i="12"/>
  <c r="Z136" i="12"/>
  <c r="Z137" i="12"/>
  <c r="Z138" i="12"/>
  <c r="Z139" i="12"/>
  <c r="Z140" i="12"/>
  <c r="Z141" i="12"/>
  <c r="Z142" i="12"/>
  <c r="Z143" i="12"/>
  <c r="Z144" i="12"/>
  <c r="Z145" i="12"/>
  <c r="Z146" i="12"/>
  <c r="Z147" i="12"/>
  <c r="Z148" i="12"/>
  <c r="Z149" i="12"/>
  <c r="Z150" i="12"/>
  <c r="Z151" i="12"/>
  <c r="Z152" i="12"/>
  <c r="Z153" i="12"/>
  <c r="Z154" i="12"/>
  <c r="Z155" i="12"/>
  <c r="Z156" i="12"/>
  <c r="Z157" i="12"/>
  <c r="Z158" i="12"/>
  <c r="Z159" i="12"/>
  <c r="Z160" i="12"/>
  <c r="Z161" i="12"/>
  <c r="Z162" i="12"/>
  <c r="Z163" i="12"/>
  <c r="Z164" i="12"/>
  <c r="Z165" i="12"/>
  <c r="Z166" i="12"/>
  <c r="Z167" i="12"/>
  <c r="Z168" i="12"/>
  <c r="Z169" i="12"/>
  <c r="Z170" i="12"/>
  <c r="Z171" i="12"/>
  <c r="Z172" i="12"/>
  <c r="Z173" i="12"/>
  <c r="Z174" i="12"/>
  <c r="Z175" i="12"/>
  <c r="Z176" i="12"/>
  <c r="Z177" i="12"/>
  <c r="Z178" i="12"/>
  <c r="Z179" i="12"/>
  <c r="Z180" i="12"/>
  <c r="Z181" i="12"/>
  <c r="Z182" i="12"/>
  <c r="Z183" i="12"/>
  <c r="Z184" i="12"/>
  <c r="Z185" i="12"/>
  <c r="Z186" i="12"/>
  <c r="Z187" i="12"/>
  <c r="Z188" i="12"/>
  <c r="Z189" i="12"/>
  <c r="Z190" i="12"/>
  <c r="Z191" i="12"/>
  <c r="AC75" i="12"/>
  <c r="AC76" i="12"/>
  <c r="AC77" i="12"/>
  <c r="AC78" i="12"/>
  <c r="AC79" i="12"/>
  <c r="AC80" i="12"/>
  <c r="AC81" i="12"/>
  <c r="AC82" i="12"/>
  <c r="AC83" i="12"/>
  <c r="AC84" i="12"/>
  <c r="AC85" i="12"/>
  <c r="AC86" i="12"/>
  <c r="AC87" i="12"/>
  <c r="AC88" i="12"/>
  <c r="AC89" i="12"/>
  <c r="AC90" i="12"/>
  <c r="AC91" i="12"/>
  <c r="AC92" i="12"/>
  <c r="AC93" i="12"/>
  <c r="AC94" i="12"/>
  <c r="AC95" i="12"/>
  <c r="AC96" i="12"/>
  <c r="AC97" i="12"/>
  <c r="AC98" i="12"/>
  <c r="AC99" i="12"/>
  <c r="AC100" i="12"/>
  <c r="AC101" i="12"/>
  <c r="AC102" i="12"/>
  <c r="AC103" i="12"/>
  <c r="AC104" i="12"/>
  <c r="AC105" i="12"/>
  <c r="AC106" i="12"/>
  <c r="AC107" i="12"/>
  <c r="AC108" i="12"/>
  <c r="AC109" i="12"/>
  <c r="AC110" i="12"/>
  <c r="AC111" i="12"/>
  <c r="AC112" i="12"/>
  <c r="AC113" i="12"/>
  <c r="AC114" i="12"/>
  <c r="AC115" i="12"/>
  <c r="AC116" i="12"/>
  <c r="AC117" i="12"/>
  <c r="AC118" i="12"/>
  <c r="AC119" i="12"/>
  <c r="AC120" i="12"/>
  <c r="AC121" i="12"/>
  <c r="AC122" i="12"/>
  <c r="AC123" i="12"/>
  <c r="AC124" i="12"/>
  <c r="AC125" i="12"/>
  <c r="AC126" i="12"/>
  <c r="AC127" i="12"/>
  <c r="AC128" i="12"/>
  <c r="AC129" i="12"/>
  <c r="AC130" i="12"/>
  <c r="AC131" i="12"/>
  <c r="AC132" i="12"/>
  <c r="AC133" i="12"/>
  <c r="AC134" i="12"/>
  <c r="AC135" i="12"/>
  <c r="AC136" i="12"/>
  <c r="AC137" i="12"/>
  <c r="AC138" i="12"/>
  <c r="AC139" i="12"/>
  <c r="AC140" i="12"/>
  <c r="AC141" i="12"/>
  <c r="AC142" i="12"/>
  <c r="AC143" i="12"/>
  <c r="AC144" i="12"/>
  <c r="AC145" i="12"/>
  <c r="AC146" i="12"/>
  <c r="AC147" i="12"/>
  <c r="AC148" i="12"/>
  <c r="AC149" i="12"/>
  <c r="AC150" i="12"/>
  <c r="AC151" i="12"/>
  <c r="AC152" i="12"/>
  <c r="AC153" i="12"/>
  <c r="AC154" i="12"/>
  <c r="AC155" i="12"/>
  <c r="AC156" i="12"/>
  <c r="AC157" i="12"/>
  <c r="AC158" i="12"/>
  <c r="AC159" i="12"/>
  <c r="AC160" i="12"/>
  <c r="AC161" i="12"/>
  <c r="AC162" i="12"/>
  <c r="AC163" i="12"/>
  <c r="AC164" i="12"/>
  <c r="AC165" i="12"/>
  <c r="AC166" i="12"/>
  <c r="AC167" i="12"/>
  <c r="AC168" i="12"/>
  <c r="AC169" i="12"/>
  <c r="AC170" i="12"/>
  <c r="AC171" i="12"/>
  <c r="AC172" i="12"/>
  <c r="AC173" i="12"/>
  <c r="AC174" i="12"/>
  <c r="AC175" i="12"/>
  <c r="AC176" i="12"/>
  <c r="AC177" i="12"/>
  <c r="AC178" i="12"/>
  <c r="AC179" i="12"/>
  <c r="AC180" i="12"/>
  <c r="AC181" i="12"/>
  <c r="AC182" i="12"/>
  <c r="AC183" i="12"/>
  <c r="AC184" i="12"/>
  <c r="AC185" i="12"/>
  <c r="AC186" i="12"/>
  <c r="AC187" i="12"/>
  <c r="AC188" i="12"/>
  <c r="AC189" i="12"/>
  <c r="AC190" i="12"/>
  <c r="AC191" i="12"/>
  <c r="Z75" i="12"/>
  <c r="Y75" i="12"/>
  <c r="S63" i="12" l="1"/>
  <c r="U63" i="12" s="1"/>
  <c r="W42" i="12"/>
  <c r="X41" i="12"/>
  <c r="R62" i="12"/>
  <c r="S62" i="12" s="1"/>
  <c r="W61" i="12"/>
  <c r="R38" i="12"/>
  <c r="S38" i="12" s="1"/>
  <c r="U38" i="12" s="1"/>
  <c r="W58" i="12"/>
  <c r="X42" i="12"/>
  <c r="W41" i="12"/>
  <c r="S69" i="12"/>
  <c r="V69" i="12" s="1"/>
  <c r="X32" i="12"/>
  <c r="R65" i="12"/>
  <c r="S65" i="12" s="1"/>
  <c r="U65" i="12" s="1"/>
  <c r="R54" i="12"/>
  <c r="S54" i="12" s="1"/>
  <c r="U54" i="12" s="1"/>
  <c r="W32" i="12"/>
  <c r="X59" i="12"/>
  <c r="W59" i="12"/>
  <c r="S64" i="12"/>
  <c r="U64" i="12" s="1"/>
  <c r="X35" i="12"/>
  <c r="X31" i="12"/>
  <c r="S66" i="12"/>
  <c r="U66" i="12" s="1"/>
  <c r="X40" i="12"/>
  <c r="W35" i="12"/>
  <c r="W31" i="12"/>
  <c r="S45" i="12"/>
  <c r="V45" i="12" s="1"/>
  <c r="R61" i="12"/>
  <c r="S61" i="12" s="1"/>
  <c r="U61" i="12" s="1"/>
  <c r="S56" i="12"/>
  <c r="V56" i="12" s="1"/>
  <c r="X39" i="12"/>
  <c r="X30" i="12"/>
  <c r="X64" i="12"/>
  <c r="W39" i="12"/>
  <c r="X33" i="12"/>
  <c r="W30" i="12"/>
  <c r="X43" i="12"/>
  <c r="W33" i="12"/>
  <c r="S48" i="12"/>
  <c r="U48" i="12" s="1"/>
  <c r="S47" i="12"/>
  <c r="V47" i="12" s="1"/>
  <c r="S53" i="12"/>
  <c r="U53" i="12" s="1"/>
  <c r="S51" i="12"/>
  <c r="V51" i="12" s="1"/>
  <c r="S70" i="12"/>
  <c r="U70" i="12" s="1"/>
  <c r="V63" i="12"/>
  <c r="S42" i="12"/>
  <c r="U42" i="12" s="1"/>
  <c r="S58" i="12"/>
  <c r="V31" i="12"/>
  <c r="U31" i="12"/>
  <c r="U30" i="12"/>
  <c r="V30" i="12"/>
  <c r="X55" i="12"/>
  <c r="X51" i="12"/>
  <c r="X47" i="12"/>
  <c r="X45" i="12"/>
  <c r="X37" i="12"/>
  <c r="W57" i="12"/>
  <c r="W55" i="12"/>
  <c r="X53" i="12"/>
  <c r="W51" i="12"/>
  <c r="X49" i="12"/>
  <c r="W47" i="12"/>
  <c r="W45" i="12"/>
  <c r="W37" i="12"/>
  <c r="W70" i="12"/>
  <c r="W68" i="12"/>
  <c r="W66" i="12"/>
  <c r="W64" i="12"/>
  <c r="W53" i="12"/>
  <c r="W49" i="12"/>
  <c r="W43" i="12"/>
  <c r="S41" i="12"/>
  <c r="U41" i="12" s="1"/>
  <c r="S35" i="12"/>
  <c r="U35" i="12" s="1"/>
  <c r="X70" i="12"/>
  <c r="X68" i="12"/>
  <c r="X66" i="12"/>
  <c r="X62" i="12"/>
  <c r="X60" i="12"/>
  <c r="X58" i="12"/>
  <c r="S57" i="12"/>
  <c r="U57" i="12" s="1"/>
  <c r="S55" i="12"/>
  <c r="V55" i="12" s="1"/>
  <c r="S37" i="12"/>
  <c r="U37" i="12" s="1"/>
  <c r="W60" i="12"/>
  <c r="X38" i="12"/>
  <c r="X34" i="12"/>
  <c r="X56" i="12"/>
  <c r="X69" i="12"/>
  <c r="W67" i="12"/>
  <c r="X65" i="12"/>
  <c r="W56" i="12"/>
  <c r="W54" i="12"/>
  <c r="X52" i="12"/>
  <c r="X50" i="12"/>
  <c r="X48" i="12"/>
  <c r="X46" i="12"/>
  <c r="X44" i="12"/>
  <c r="W36" i="12"/>
  <c r="W69" i="12"/>
  <c r="V67" i="12"/>
  <c r="S60" i="12"/>
  <c r="V60" i="12" s="1"/>
  <c r="V54" i="12"/>
  <c r="W52" i="12"/>
  <c r="W50" i="12"/>
  <c r="W48" i="12"/>
  <c r="W46" i="12"/>
  <c r="W44" i="12"/>
  <c r="S40" i="12"/>
  <c r="U40" i="12" s="1"/>
  <c r="S34" i="12"/>
  <c r="U34" i="12" s="1"/>
  <c r="W40" i="12"/>
  <c r="X36" i="12"/>
  <c r="W34" i="12"/>
  <c r="U67" i="12"/>
  <c r="V32" i="12"/>
  <c r="U39" i="12"/>
  <c r="V44" i="12"/>
  <c r="U33" i="12"/>
  <c r="V33" i="12"/>
  <c r="U49" i="12"/>
  <c r="V49" i="12"/>
  <c r="U43" i="12"/>
  <c r="V43" i="12"/>
  <c r="V62" i="12"/>
  <c r="U62" i="12"/>
  <c r="U36" i="12"/>
  <c r="V36" i="12"/>
  <c r="U59" i="12"/>
  <c r="V59" i="12"/>
  <c r="U52" i="12"/>
  <c r="V52" i="12"/>
  <c r="U68" i="12"/>
  <c r="V68" i="12"/>
  <c r="U46" i="12"/>
  <c r="V46" i="12"/>
  <c r="V50" i="12"/>
  <c r="D51" i="24"/>
  <c r="N51" i="24"/>
  <c r="D52" i="24"/>
  <c r="N52" i="24"/>
  <c r="D53" i="24"/>
  <c r="N53" i="24"/>
  <c r="D54" i="24"/>
  <c r="N54" i="24"/>
  <c r="D55" i="24"/>
  <c r="N55" i="24"/>
  <c r="D56" i="24"/>
  <c r="N56" i="24"/>
  <c r="D57" i="24"/>
  <c r="N57" i="24"/>
  <c r="D58" i="24"/>
  <c r="N58" i="24"/>
  <c r="D59" i="24"/>
  <c r="N59" i="24"/>
  <c r="D60" i="24"/>
  <c r="N60" i="24"/>
  <c r="D61" i="24"/>
  <c r="N61" i="24"/>
  <c r="D62" i="24"/>
  <c r="N62" i="24"/>
  <c r="D63" i="24"/>
  <c r="N63" i="24"/>
  <c r="D64" i="24"/>
  <c r="N64" i="24"/>
  <c r="D65" i="24"/>
  <c r="N65" i="24"/>
  <c r="D66" i="24"/>
  <c r="N66" i="24"/>
  <c r="D67" i="24"/>
  <c r="N67" i="24"/>
  <c r="D68" i="24"/>
  <c r="N68" i="24"/>
  <c r="D69" i="24"/>
  <c r="N69" i="24"/>
  <c r="D70" i="24"/>
  <c r="N70" i="24"/>
  <c r="D71" i="24"/>
  <c r="N71" i="24"/>
  <c r="D72" i="24"/>
  <c r="N72" i="24"/>
  <c r="D73" i="24"/>
  <c r="N73" i="24"/>
  <c r="D74" i="24"/>
  <c r="N74" i="24"/>
  <c r="D75" i="24"/>
  <c r="N75" i="24"/>
  <c r="D76" i="24"/>
  <c r="N76" i="24"/>
  <c r="D77" i="24"/>
  <c r="N77" i="24"/>
  <c r="D78" i="24"/>
  <c r="N78" i="24"/>
  <c r="D79" i="24"/>
  <c r="N79" i="24"/>
  <c r="D80" i="24"/>
  <c r="N80" i="24"/>
  <c r="D81" i="24"/>
  <c r="N81" i="24"/>
  <c r="D82" i="24"/>
  <c r="N82" i="24"/>
  <c r="D83" i="24"/>
  <c r="N83" i="24"/>
  <c r="D84" i="24"/>
  <c r="N84" i="24"/>
  <c r="D85" i="24"/>
  <c r="N85" i="24"/>
  <c r="D86" i="24"/>
  <c r="N86" i="24"/>
  <c r="D87" i="24"/>
  <c r="N87" i="24"/>
  <c r="D88" i="24"/>
  <c r="N88" i="24"/>
  <c r="D89" i="24"/>
  <c r="N89" i="24"/>
  <c r="D90" i="24"/>
  <c r="N90" i="24"/>
  <c r="D91" i="24"/>
  <c r="N91" i="24"/>
  <c r="D92" i="24"/>
  <c r="N92" i="24"/>
  <c r="D93" i="24"/>
  <c r="N93" i="24"/>
  <c r="D94" i="24"/>
  <c r="N94" i="24"/>
  <c r="D95" i="24"/>
  <c r="N95" i="24"/>
  <c r="D96" i="24"/>
  <c r="N96" i="24"/>
  <c r="D97" i="24"/>
  <c r="N97" i="24"/>
  <c r="D98" i="24"/>
  <c r="N98" i="24"/>
  <c r="D99" i="24"/>
  <c r="N99" i="24"/>
  <c r="D100" i="24"/>
  <c r="N100" i="24"/>
  <c r="D101" i="24"/>
  <c r="N101" i="24"/>
  <c r="D102" i="24"/>
  <c r="N102" i="24"/>
  <c r="D103" i="24"/>
  <c r="N103" i="24"/>
  <c r="D104" i="24"/>
  <c r="N104" i="24"/>
  <c r="D105" i="24"/>
  <c r="N105" i="24"/>
  <c r="D106" i="24"/>
  <c r="N106" i="24"/>
  <c r="D107" i="24"/>
  <c r="N107" i="24"/>
  <c r="D108" i="24"/>
  <c r="N108" i="24"/>
  <c r="D109" i="24"/>
  <c r="N109" i="24"/>
  <c r="D110" i="24"/>
  <c r="N110" i="24"/>
  <c r="D111" i="24"/>
  <c r="N111" i="24"/>
  <c r="D112" i="24"/>
  <c r="N112" i="24"/>
  <c r="D113" i="24"/>
  <c r="N113" i="24"/>
  <c r="D114" i="24"/>
  <c r="N114" i="24"/>
  <c r="D115" i="24"/>
  <c r="N115" i="24"/>
  <c r="D116" i="24"/>
  <c r="N116" i="24"/>
  <c r="D117" i="24"/>
  <c r="N117" i="24"/>
  <c r="D118" i="24"/>
  <c r="N118" i="24"/>
  <c r="D119" i="24"/>
  <c r="N119" i="24"/>
  <c r="D120" i="24"/>
  <c r="N120" i="24"/>
  <c r="D121" i="24"/>
  <c r="N121" i="24"/>
  <c r="D122" i="24"/>
  <c r="N122" i="24"/>
  <c r="D123" i="24"/>
  <c r="N123" i="24"/>
  <c r="D124" i="24"/>
  <c r="N124" i="24"/>
  <c r="D125" i="24"/>
  <c r="N125" i="24"/>
  <c r="D126" i="24"/>
  <c r="N126" i="24"/>
  <c r="D127" i="24"/>
  <c r="N127" i="24"/>
  <c r="D128" i="24"/>
  <c r="N128" i="24"/>
  <c r="D129" i="24"/>
  <c r="N129" i="24"/>
  <c r="D130" i="24"/>
  <c r="N130" i="24"/>
  <c r="D131" i="24"/>
  <c r="N131" i="24"/>
  <c r="D132" i="24"/>
  <c r="N132" i="24"/>
  <c r="D133" i="24"/>
  <c r="N133" i="24"/>
  <c r="D134" i="24"/>
  <c r="N134" i="24"/>
  <c r="D135" i="24"/>
  <c r="N135" i="24"/>
  <c r="D136" i="24"/>
  <c r="N136" i="24"/>
  <c r="D137" i="24"/>
  <c r="N137" i="24"/>
  <c r="D138" i="24"/>
  <c r="N138" i="24"/>
  <c r="D139" i="24"/>
  <c r="N139" i="24"/>
  <c r="D140" i="24"/>
  <c r="N140" i="24"/>
  <c r="D141" i="24"/>
  <c r="N141" i="24"/>
  <c r="D142" i="24"/>
  <c r="N142" i="24"/>
  <c r="D143" i="24"/>
  <c r="N143" i="24"/>
  <c r="D144" i="24"/>
  <c r="N144" i="24"/>
  <c r="D145" i="24"/>
  <c r="N145" i="24"/>
  <c r="D146" i="24"/>
  <c r="N146" i="24"/>
  <c r="D147" i="24"/>
  <c r="N147" i="24"/>
  <c r="D148" i="24"/>
  <c r="N148" i="24"/>
  <c r="D149" i="24"/>
  <c r="N149" i="24"/>
  <c r="D150" i="24"/>
  <c r="N150" i="24"/>
  <c r="D151" i="24"/>
  <c r="N151" i="24"/>
  <c r="D152" i="24"/>
  <c r="N152" i="24"/>
  <c r="D153" i="24"/>
  <c r="N153" i="24"/>
  <c r="D154" i="24"/>
  <c r="N154" i="24"/>
  <c r="D155" i="24"/>
  <c r="N155" i="24"/>
  <c r="D156" i="24"/>
  <c r="N156" i="24"/>
  <c r="D157" i="24"/>
  <c r="N157" i="24"/>
  <c r="D158" i="24"/>
  <c r="N158" i="24"/>
  <c r="D159" i="24"/>
  <c r="N159" i="24"/>
  <c r="D160" i="24"/>
  <c r="N160" i="24"/>
  <c r="D161" i="24"/>
  <c r="N161" i="24"/>
  <c r="D162" i="24"/>
  <c r="N162" i="24"/>
  <c r="D163" i="24"/>
  <c r="N163" i="24"/>
  <c r="D164" i="24"/>
  <c r="N164" i="24"/>
  <c r="D165" i="24"/>
  <c r="N165" i="24"/>
  <c r="D166" i="24"/>
  <c r="N166" i="24"/>
  <c r="D167" i="24"/>
  <c r="N167" i="24"/>
  <c r="D168" i="24"/>
  <c r="N168" i="24"/>
  <c r="D169" i="24"/>
  <c r="N169" i="24"/>
  <c r="D170" i="24"/>
  <c r="N170" i="24"/>
  <c r="D171" i="24"/>
  <c r="N171" i="24"/>
  <c r="D172" i="24"/>
  <c r="N172" i="24"/>
  <c r="D173" i="24"/>
  <c r="N173" i="24"/>
  <c r="D174" i="24"/>
  <c r="N174" i="24"/>
  <c r="D175" i="24"/>
  <c r="N175" i="24"/>
  <c r="D176" i="24"/>
  <c r="N176" i="24"/>
  <c r="D177" i="24"/>
  <c r="N177" i="24"/>
  <c r="D178" i="24"/>
  <c r="N178" i="24"/>
  <c r="D179" i="24"/>
  <c r="N179" i="24"/>
  <c r="D180" i="24"/>
  <c r="N180" i="24"/>
  <c r="D181" i="24"/>
  <c r="N181" i="24"/>
  <c r="D182" i="24"/>
  <c r="N182" i="24"/>
  <c r="D183" i="24"/>
  <c r="N183" i="24"/>
  <c r="D184" i="24"/>
  <c r="N184" i="24"/>
  <c r="D185" i="24"/>
  <c r="N185" i="24"/>
  <c r="D186" i="24"/>
  <c r="N186" i="24"/>
  <c r="D187" i="24"/>
  <c r="N187" i="24"/>
  <c r="D188" i="24"/>
  <c r="N188" i="24"/>
  <c r="D189" i="24"/>
  <c r="N189" i="24"/>
  <c r="D190" i="24"/>
  <c r="N190" i="24"/>
  <c r="D191" i="24"/>
  <c r="N191" i="24"/>
  <c r="D192" i="24"/>
  <c r="N192" i="24"/>
  <c r="D193" i="24"/>
  <c r="N193" i="24"/>
  <c r="D194" i="24"/>
  <c r="N194" i="24"/>
  <c r="D195" i="24"/>
  <c r="N195" i="24"/>
  <c r="D196" i="24"/>
  <c r="N196" i="24"/>
  <c r="D197" i="24"/>
  <c r="N197" i="24"/>
  <c r="D198" i="24"/>
  <c r="N198" i="24"/>
  <c r="D199" i="24"/>
  <c r="N199" i="24"/>
  <c r="D200" i="24"/>
  <c r="N200" i="24"/>
  <c r="J8" i="37"/>
  <c r="J9" i="37"/>
  <c r="J10" i="37"/>
  <c r="J11" i="37"/>
  <c r="J12" i="37"/>
  <c r="J13" i="37"/>
  <c r="J14" i="37"/>
  <c r="J15" i="37"/>
  <c r="J16" i="37"/>
  <c r="J17" i="37"/>
  <c r="J18" i="37"/>
  <c r="J19" i="37"/>
  <c r="J20" i="37"/>
  <c r="J21" i="37"/>
  <c r="J22" i="37"/>
  <c r="J23" i="37"/>
  <c r="J24" i="37"/>
  <c r="J25" i="37"/>
  <c r="J26" i="37"/>
  <c r="J27" i="37"/>
  <c r="K8" i="37"/>
  <c r="K9" i="37"/>
  <c r="K10" i="37"/>
  <c r="K11" i="37"/>
  <c r="K12" i="37"/>
  <c r="K13" i="37"/>
  <c r="K14" i="37"/>
  <c r="K15" i="37"/>
  <c r="K16" i="37"/>
  <c r="K17" i="37"/>
  <c r="K18" i="37"/>
  <c r="K19" i="37"/>
  <c r="K20" i="37"/>
  <c r="K21" i="37"/>
  <c r="K22" i="37"/>
  <c r="K23" i="37"/>
  <c r="K24" i="37"/>
  <c r="K25" i="37"/>
  <c r="K26" i="37"/>
  <c r="K27" i="37"/>
  <c r="A49" i="33"/>
  <c r="B49" i="33"/>
  <c r="C49" i="33"/>
  <c r="D49" i="33"/>
  <c r="A50" i="33"/>
  <c r="B50" i="33"/>
  <c r="C50" i="33"/>
  <c r="D50" i="33"/>
  <c r="A51" i="33"/>
  <c r="B51" i="33"/>
  <c r="C51" i="33"/>
  <c r="D51" i="33"/>
  <c r="A52" i="33"/>
  <c r="B52" i="33"/>
  <c r="C52" i="33"/>
  <c r="D52" i="33"/>
  <c r="A53" i="33"/>
  <c r="B53" i="33"/>
  <c r="C53" i="33"/>
  <c r="D53" i="33"/>
  <c r="A54" i="33"/>
  <c r="B54" i="33"/>
  <c r="C54" i="33"/>
  <c r="D54" i="33"/>
  <c r="A55" i="33"/>
  <c r="B55" i="33"/>
  <c r="C55" i="33"/>
  <c r="D55" i="33"/>
  <c r="A56" i="33"/>
  <c r="B56" i="33"/>
  <c r="C56" i="33"/>
  <c r="D56" i="33"/>
  <c r="A57" i="33"/>
  <c r="B57" i="33"/>
  <c r="C57" i="33"/>
  <c r="D57" i="33"/>
  <c r="A58" i="33"/>
  <c r="B58" i="33"/>
  <c r="C58" i="33"/>
  <c r="D58" i="33"/>
  <c r="A59" i="33"/>
  <c r="B59" i="33"/>
  <c r="C59" i="33"/>
  <c r="D59" i="33"/>
  <c r="A60" i="33"/>
  <c r="B60" i="33"/>
  <c r="C60" i="33"/>
  <c r="D60" i="33"/>
  <c r="A61" i="33"/>
  <c r="B61" i="33"/>
  <c r="C61" i="33"/>
  <c r="D61" i="33"/>
  <c r="A62" i="33"/>
  <c r="B62" i="33"/>
  <c r="C62" i="33"/>
  <c r="D62" i="33"/>
  <c r="A63" i="33"/>
  <c r="B63" i="33"/>
  <c r="C63" i="33"/>
  <c r="D63" i="33"/>
  <c r="A64" i="33"/>
  <c r="B64" i="33"/>
  <c r="C64" i="33"/>
  <c r="D64" i="33"/>
  <c r="A65" i="33"/>
  <c r="B65" i="33"/>
  <c r="C65" i="33"/>
  <c r="D65" i="33"/>
  <c r="A66" i="33"/>
  <c r="B66" i="33"/>
  <c r="C66" i="33"/>
  <c r="D66" i="33"/>
  <c r="A67" i="33"/>
  <c r="B67" i="33"/>
  <c r="C67" i="33"/>
  <c r="D67" i="33"/>
  <c r="A68" i="33"/>
  <c r="B68" i="33"/>
  <c r="C68" i="33"/>
  <c r="D68" i="33"/>
  <c r="A69" i="33"/>
  <c r="B69" i="33"/>
  <c r="C69" i="33"/>
  <c r="D69" i="33"/>
  <c r="A70" i="33"/>
  <c r="B70" i="33"/>
  <c r="C70" i="33"/>
  <c r="D70" i="33"/>
  <c r="A71" i="33"/>
  <c r="B71" i="33"/>
  <c r="C71" i="33"/>
  <c r="D71" i="33"/>
  <c r="A72" i="33"/>
  <c r="B72" i="33"/>
  <c r="C72" i="33"/>
  <c r="D72" i="33"/>
  <c r="A73" i="33"/>
  <c r="B73" i="33"/>
  <c r="C73" i="33"/>
  <c r="D73" i="33"/>
  <c r="A74" i="33"/>
  <c r="B74" i="33"/>
  <c r="C74" i="33"/>
  <c r="D74" i="33"/>
  <c r="A75" i="33"/>
  <c r="B75" i="33"/>
  <c r="C75" i="33"/>
  <c r="D75" i="33"/>
  <c r="A76" i="33"/>
  <c r="B76" i="33"/>
  <c r="C76" i="33"/>
  <c r="D76" i="33"/>
  <c r="A77" i="33"/>
  <c r="B77" i="33"/>
  <c r="C77" i="33"/>
  <c r="D77" i="33"/>
  <c r="D7" i="24"/>
  <c r="D8" i="24"/>
  <c r="D9" i="24"/>
  <c r="D10" i="24"/>
  <c r="D11" i="24"/>
  <c r="D12" i="24"/>
  <c r="D13" i="24"/>
  <c r="D14" i="24"/>
  <c r="D15" i="24"/>
  <c r="D16" i="24"/>
  <c r="D17" i="24"/>
  <c r="D18" i="24"/>
  <c r="D19" i="24"/>
  <c r="D20" i="24"/>
  <c r="D21" i="24"/>
  <c r="D22" i="24"/>
  <c r="D23" i="24"/>
  <c r="D24" i="24"/>
  <c r="D25" i="24"/>
  <c r="D26" i="24"/>
  <c r="D27" i="24"/>
  <c r="D28" i="24"/>
  <c r="D29" i="24"/>
  <c r="D30" i="24"/>
  <c r="D31" i="24"/>
  <c r="D32" i="24"/>
  <c r="D33" i="24"/>
  <c r="D34" i="24"/>
  <c r="D35" i="24"/>
  <c r="D36" i="24"/>
  <c r="D37" i="24"/>
  <c r="D38" i="24"/>
  <c r="D39" i="24"/>
  <c r="D40" i="24"/>
  <c r="D41" i="24"/>
  <c r="D42" i="24"/>
  <c r="D43" i="24"/>
  <c r="D44" i="24"/>
  <c r="D45" i="24"/>
  <c r="D46" i="24"/>
  <c r="D47" i="24"/>
  <c r="D48" i="24"/>
  <c r="D49" i="24"/>
  <c r="D50" i="24"/>
  <c r="D6" i="24"/>
  <c r="K3" i="33" a="1"/>
  <c r="K3" i="33" s="1"/>
  <c r="U7" i="17"/>
  <c r="U8" i="17"/>
  <c r="U9" i="17"/>
  <c r="U10" i="17"/>
  <c r="U11" i="17"/>
  <c r="U12" i="17"/>
  <c r="U13" i="17"/>
  <c r="U14" i="17"/>
  <c r="U15" i="17"/>
  <c r="U16" i="17"/>
  <c r="U17" i="17"/>
  <c r="U18" i="17"/>
  <c r="U19" i="17"/>
  <c r="U20" i="17"/>
  <c r="U21" i="17"/>
  <c r="U22" i="17"/>
  <c r="U23" i="17"/>
  <c r="U24" i="17"/>
  <c r="U25" i="17"/>
  <c r="U26" i="17"/>
  <c r="U27" i="17"/>
  <c r="U28" i="17"/>
  <c r="U29" i="17"/>
  <c r="U30" i="17"/>
  <c r="U31" i="17"/>
  <c r="U32" i="17"/>
  <c r="U33" i="17"/>
  <c r="U34" i="17"/>
  <c r="U35" i="17"/>
  <c r="U36" i="17"/>
  <c r="U37" i="17"/>
  <c r="U38" i="17"/>
  <c r="U39" i="17"/>
  <c r="U40" i="17"/>
  <c r="U41" i="17"/>
  <c r="U42" i="17"/>
  <c r="U43" i="17"/>
  <c r="U44" i="17"/>
  <c r="U45" i="17"/>
  <c r="U46" i="17"/>
  <c r="U47" i="17"/>
  <c r="U48" i="17"/>
  <c r="U49" i="17"/>
  <c r="U50" i="17"/>
  <c r="U51" i="17"/>
  <c r="U52" i="17"/>
  <c r="U53" i="17"/>
  <c r="U54" i="17"/>
  <c r="U55" i="17"/>
  <c r="T7" i="17"/>
  <c r="T8" i="17"/>
  <c r="T9" i="17"/>
  <c r="T10" i="17"/>
  <c r="T11" i="17"/>
  <c r="T12" i="17"/>
  <c r="T13" i="17"/>
  <c r="T14" i="17"/>
  <c r="T15" i="17"/>
  <c r="T16" i="17"/>
  <c r="T17" i="17"/>
  <c r="T18" i="17"/>
  <c r="T19" i="17"/>
  <c r="T20" i="17"/>
  <c r="T21" i="17"/>
  <c r="T22" i="17"/>
  <c r="T23" i="17"/>
  <c r="T24" i="17"/>
  <c r="T25" i="17"/>
  <c r="T26" i="17"/>
  <c r="T27" i="17"/>
  <c r="T28" i="17"/>
  <c r="T29" i="17"/>
  <c r="T30" i="17"/>
  <c r="T31" i="17"/>
  <c r="T32" i="17"/>
  <c r="T33" i="17"/>
  <c r="T34" i="17"/>
  <c r="T35" i="17"/>
  <c r="T36" i="17"/>
  <c r="T37" i="17"/>
  <c r="T38" i="17"/>
  <c r="T39" i="17"/>
  <c r="T40" i="17"/>
  <c r="T41" i="17"/>
  <c r="T42" i="17"/>
  <c r="T43" i="17"/>
  <c r="T44" i="17"/>
  <c r="T45" i="17"/>
  <c r="T46" i="17"/>
  <c r="T47" i="17"/>
  <c r="T48" i="17"/>
  <c r="T49" i="17"/>
  <c r="T50" i="17"/>
  <c r="T51" i="17"/>
  <c r="T52" i="17"/>
  <c r="T53" i="17"/>
  <c r="T54" i="17"/>
  <c r="T55" i="17"/>
  <c r="S7" i="17"/>
  <c r="S8" i="17"/>
  <c r="S9" i="17"/>
  <c r="S10" i="17"/>
  <c r="S11" i="17"/>
  <c r="S12" i="17"/>
  <c r="S13" i="17"/>
  <c r="S14" i="17"/>
  <c r="S15" i="17"/>
  <c r="S16" i="17"/>
  <c r="S17" i="17"/>
  <c r="S18" i="17"/>
  <c r="S19" i="17"/>
  <c r="S20" i="17"/>
  <c r="S21" i="17"/>
  <c r="S22" i="17"/>
  <c r="S23" i="17"/>
  <c r="S24" i="17"/>
  <c r="S25" i="17"/>
  <c r="S26" i="17"/>
  <c r="S27" i="17"/>
  <c r="S28" i="17"/>
  <c r="S29" i="17"/>
  <c r="S30" i="17"/>
  <c r="S31" i="17"/>
  <c r="S32" i="17"/>
  <c r="S33" i="17"/>
  <c r="S34" i="17"/>
  <c r="S35" i="17"/>
  <c r="S36" i="17"/>
  <c r="S37" i="17"/>
  <c r="S38" i="17"/>
  <c r="S39" i="17"/>
  <c r="S40" i="17"/>
  <c r="S41" i="17"/>
  <c r="S42" i="17"/>
  <c r="S43" i="17"/>
  <c r="S44" i="17"/>
  <c r="S45" i="17"/>
  <c r="S46" i="17"/>
  <c r="S47" i="17"/>
  <c r="S48" i="17"/>
  <c r="S49" i="17"/>
  <c r="S50" i="17"/>
  <c r="S51" i="17"/>
  <c r="S52" i="17"/>
  <c r="S53" i="17"/>
  <c r="S54" i="17"/>
  <c r="S55" i="17"/>
  <c r="H3" i="33" a="1"/>
  <c r="H3" i="33" s="1"/>
  <c r="U45" i="12" l="1"/>
  <c r="V34" i="12"/>
  <c r="U69" i="12"/>
  <c r="V65" i="12"/>
  <c r="V40" i="12"/>
  <c r="V38" i="12"/>
  <c r="V64" i="12"/>
  <c r="U56" i="12"/>
  <c r="V66" i="12"/>
  <c r="V61" i="12"/>
  <c r="V70" i="12"/>
  <c r="U47" i="12"/>
  <c r="U51" i="12"/>
  <c r="V53" i="12"/>
  <c r="V37" i="12"/>
  <c r="V42" i="12"/>
  <c r="U60" i="12"/>
  <c r="V48" i="12"/>
  <c r="V35" i="12"/>
  <c r="V57" i="12"/>
  <c r="U58" i="12"/>
  <c r="V58" i="12"/>
  <c r="V41" i="12"/>
  <c r="U55" i="12"/>
  <c r="S6" i="17"/>
  <c r="T6" i="17"/>
  <c r="U6" i="17"/>
  <c r="V51" i="17"/>
  <c r="W51" i="17" s="1"/>
  <c r="V23" i="17"/>
  <c r="W23" i="17" s="1"/>
  <c r="V40" i="17"/>
  <c r="W40" i="17" s="1"/>
  <c r="V26" i="17"/>
  <c r="W26" i="17" s="1"/>
  <c r="V38" i="17"/>
  <c r="W38" i="17" s="1"/>
  <c r="V18" i="17"/>
  <c r="W18" i="17" s="1"/>
  <c r="V37" i="17"/>
  <c r="W37" i="17" s="1"/>
  <c r="V17" i="17"/>
  <c r="W17" i="17" s="1"/>
  <c r="V16" i="17"/>
  <c r="W16" i="17" s="1"/>
  <c r="V15" i="17"/>
  <c r="W15" i="17" s="1"/>
  <c r="V54" i="17"/>
  <c r="W54" i="17" s="1"/>
  <c r="V34" i="17"/>
  <c r="W34" i="17" s="1"/>
  <c r="V41" i="17"/>
  <c r="W41" i="17" s="1"/>
  <c r="V13" i="17"/>
  <c r="W13" i="17" s="1"/>
  <c r="C5" i="53"/>
  <c r="C5" i="56"/>
  <c r="C5" i="27"/>
  <c r="C5" i="39"/>
  <c r="V39" i="17" l="1"/>
  <c r="W39" i="17" s="1"/>
  <c r="V21" i="17"/>
  <c r="W21" i="17" s="1"/>
  <c r="V24" i="17"/>
  <c r="W24" i="17" s="1"/>
  <c r="V52" i="17"/>
  <c r="W52" i="17" s="1"/>
  <c r="V10" i="17"/>
  <c r="W10" i="17" s="1"/>
  <c r="V42" i="17"/>
  <c r="W42" i="17" s="1"/>
  <c r="V25" i="17"/>
  <c r="W25" i="17" s="1"/>
  <c r="V35" i="17"/>
  <c r="W35" i="17" s="1"/>
  <c r="V50" i="17"/>
  <c r="W50" i="17" s="1"/>
  <c r="V11" i="17"/>
  <c r="W11" i="17" s="1"/>
  <c r="V43" i="17"/>
  <c r="W43" i="17" s="1"/>
  <c r="V36" i="17"/>
  <c r="W36" i="17" s="1"/>
  <c r="V20" i="17"/>
  <c r="W20" i="17" s="1"/>
  <c r="V32" i="17"/>
  <c r="W32" i="17" s="1"/>
  <c r="V12" i="17"/>
  <c r="W12" i="17" s="1"/>
  <c r="V7" i="17"/>
  <c r="W7" i="17" s="1"/>
  <c r="V19" i="17"/>
  <c r="W19" i="17" s="1"/>
  <c r="V47" i="17"/>
  <c r="W47" i="17" s="1"/>
  <c r="V29" i="17"/>
  <c r="W29" i="17" s="1"/>
  <c r="V28" i="17"/>
  <c r="W28" i="17" s="1"/>
  <c r="V46" i="17"/>
  <c r="W46" i="17" s="1"/>
  <c r="V8" i="17"/>
  <c r="W8" i="17" s="1"/>
  <c r="V33" i="17"/>
  <c r="W33" i="17" s="1"/>
  <c r="V55" i="17"/>
  <c r="W55" i="17" s="1"/>
  <c r="V22" i="17"/>
  <c r="W22" i="17" s="1"/>
  <c r="V31" i="17"/>
  <c r="W31" i="17" s="1"/>
  <c r="V27" i="17"/>
  <c r="W27" i="17" s="1"/>
  <c r="V48" i="17"/>
  <c r="W48" i="17" s="1"/>
  <c r="V49" i="17"/>
  <c r="W49" i="17" s="1"/>
  <c r="V53" i="17"/>
  <c r="W53" i="17" s="1"/>
  <c r="V30" i="17"/>
  <c r="W30" i="17" s="1"/>
  <c r="V14" i="17"/>
  <c r="W14" i="17" s="1"/>
  <c r="V9" i="17"/>
  <c r="W9" i="17" s="1"/>
  <c r="V44" i="17"/>
  <c r="W44" i="17" s="1"/>
  <c r="V45" i="17"/>
  <c r="W45" i="17" s="1"/>
  <c r="V6" i="17"/>
  <c r="W6" i="17" s="1"/>
  <c r="N5" i="24"/>
  <c r="N6" i="24"/>
  <c r="N7" i="24"/>
  <c r="N8" i="24"/>
  <c r="N9" i="24"/>
  <c r="N10" i="24"/>
  <c r="N11" i="24"/>
  <c r="N12" i="24"/>
  <c r="N13" i="24"/>
  <c r="N14" i="24"/>
  <c r="N15" i="24"/>
  <c r="N16" i="24"/>
  <c r="N17" i="24"/>
  <c r="N18" i="24"/>
  <c r="N19" i="24"/>
  <c r="N20" i="24"/>
  <c r="N21" i="24"/>
  <c r="N22" i="24"/>
  <c r="N23" i="24"/>
  <c r="N24" i="24"/>
  <c r="N25" i="24"/>
  <c r="N26" i="24"/>
  <c r="N27" i="24"/>
  <c r="N28" i="24"/>
  <c r="N29" i="24"/>
  <c r="N30" i="24"/>
  <c r="N31" i="24"/>
  <c r="N32" i="24"/>
  <c r="N33" i="24"/>
  <c r="N34" i="24"/>
  <c r="N35" i="24"/>
  <c r="N36" i="24"/>
  <c r="N37" i="24"/>
  <c r="N38" i="24"/>
  <c r="N39" i="24"/>
  <c r="N40" i="24"/>
  <c r="N41" i="24"/>
  <c r="N42" i="24"/>
  <c r="N43" i="24"/>
  <c r="N44" i="24"/>
  <c r="N45" i="24"/>
  <c r="N46" i="24"/>
  <c r="N47" i="24"/>
  <c r="N48" i="24"/>
  <c r="N49" i="24"/>
  <c r="N50" i="24"/>
  <c r="C5" i="41"/>
  <c r="E45" i="41"/>
  <c r="H39" i="41"/>
  <c r="H36" i="41"/>
  <c r="H35" i="41"/>
  <c r="H34" i="41"/>
  <c r="H33" i="41"/>
  <c r="H31" i="41"/>
  <c r="H28" i="41"/>
  <c r="H27" i="41"/>
  <c r="H26" i="41"/>
  <c r="H25" i="41"/>
  <c r="H23" i="41"/>
  <c r="H20" i="41"/>
  <c r="H19" i="41"/>
  <c r="H18" i="41"/>
  <c r="H17" i="41"/>
  <c r="H12" i="41"/>
  <c r="H24" i="41" s="1"/>
  <c r="H11" i="41"/>
  <c r="H10" i="41"/>
  <c r="H38" i="41" s="1"/>
  <c r="H9" i="41"/>
  <c r="H21" i="41" s="1"/>
  <c r="H52" i="52"/>
  <c r="H47" i="52"/>
  <c r="H46" i="52"/>
  <c r="H45" i="52"/>
  <c r="H37" i="52"/>
  <c r="H38" i="52"/>
  <c r="H35" i="52"/>
  <c r="H34" i="52"/>
  <c r="H33" i="52"/>
  <c r="H28" i="52"/>
  <c r="H22" i="52"/>
  <c r="H9" i="52"/>
  <c r="H12" i="52" s="1"/>
  <c r="H15" i="52" s="1"/>
  <c r="H43" i="52" s="1"/>
  <c r="H23" i="52"/>
  <c r="H21" i="52"/>
  <c r="H21" i="39"/>
  <c r="H37" i="39" s="1"/>
  <c r="H10" i="52"/>
  <c r="H50" i="52" s="1"/>
  <c r="H8" i="52"/>
  <c r="H11" i="52" s="1"/>
  <c r="H49" i="39"/>
  <c r="H48" i="39"/>
  <c r="H47" i="39"/>
  <c r="H41" i="39"/>
  <c r="H40" i="39"/>
  <c r="H39" i="39"/>
  <c r="H22" i="39"/>
  <c r="H38" i="39" s="1"/>
  <c r="H23" i="39"/>
  <c r="H24" i="39"/>
  <c r="H25" i="39"/>
  <c r="H26" i="39"/>
  <c r="H42" i="39" s="1"/>
  <c r="H27" i="39"/>
  <c r="H43" i="39" s="1"/>
  <c r="H28" i="39"/>
  <c r="H44" i="39" s="1"/>
  <c r="H29" i="39"/>
  <c r="H45" i="39" s="1"/>
  <c r="H30" i="39"/>
  <c r="H46" i="39" s="1"/>
  <c r="H31" i="39"/>
  <c r="H32" i="39"/>
  <c r="H33" i="39"/>
  <c r="H34" i="39"/>
  <c r="H50" i="39" s="1"/>
  <c r="H35" i="39"/>
  <c r="H51" i="39" s="1"/>
  <c r="H36" i="39"/>
  <c r="H52" i="39" s="1"/>
  <c r="H37" i="53"/>
  <c r="H36" i="53"/>
  <c r="H18" i="53"/>
  <c r="H30" i="53" s="1"/>
  <c r="H19" i="53"/>
  <c r="H31" i="53" s="1"/>
  <c r="H20" i="53"/>
  <c r="H32" i="53" s="1"/>
  <c r="H21" i="53"/>
  <c r="H33" i="53" s="1"/>
  <c r="H22" i="53"/>
  <c r="H34" i="53" s="1"/>
  <c r="H23" i="53"/>
  <c r="H35" i="53" s="1"/>
  <c r="H24" i="53"/>
  <c r="H25" i="53"/>
  <c r="H26" i="53"/>
  <c r="H38" i="53" s="1"/>
  <c r="H27" i="53"/>
  <c r="H39" i="53" s="1"/>
  <c r="H28" i="53"/>
  <c r="H40" i="53" s="1"/>
  <c r="H17" i="53"/>
  <c r="H29" i="53" s="1"/>
  <c r="I69" i="52" a="1"/>
  <c r="I69" i="52" s="1"/>
  <c r="H70" i="52" a="1"/>
  <c r="H70" i="52" s="1"/>
  <c r="I70" i="52" s="1" a="1"/>
  <c r="I70" i="52" s="1"/>
  <c r="F53" i="53"/>
  <c r="H69" i="52" a="1"/>
  <c r="H69" i="52" s="1"/>
  <c r="F52" i="53"/>
  <c r="F51" i="53"/>
  <c r="F50" i="53"/>
  <c r="H66" i="52" a="1"/>
  <c r="H66" i="52" s="1"/>
  <c r="I66" i="52" s="1" a="1"/>
  <c r="I66" i="52" s="1"/>
  <c r="F49" i="53"/>
  <c r="F48" i="53"/>
  <c r="F47" i="53"/>
  <c r="F46" i="53"/>
  <c r="F45" i="53"/>
  <c r="H62" i="52" a="1"/>
  <c r="H62" i="52" s="1"/>
  <c r="I62" i="52" s="1" a="1"/>
  <c r="I62" i="52" s="1"/>
  <c r="H61" i="52" a="1"/>
  <c r="H61" i="52" s="1"/>
  <c r="I61" i="52" s="1" a="1"/>
  <c r="I61" i="52" s="1"/>
  <c r="E18" i="53"/>
  <c r="E19" i="53"/>
  <c r="E20" i="53"/>
  <c r="E21" i="53"/>
  <c r="E22" i="53"/>
  <c r="E23" i="53"/>
  <c r="E24" i="53"/>
  <c r="E25" i="53"/>
  <c r="E26" i="53"/>
  <c r="E27" i="53"/>
  <c r="E28" i="53"/>
  <c r="E30" i="53"/>
  <c r="E31" i="53"/>
  <c r="E32" i="53"/>
  <c r="E33" i="53"/>
  <c r="E34" i="53"/>
  <c r="E35" i="53"/>
  <c r="E36" i="53"/>
  <c r="E37" i="53"/>
  <c r="E38" i="53"/>
  <c r="E39" i="53"/>
  <c r="E40" i="53"/>
  <c r="G70" i="52"/>
  <c r="G66" i="52"/>
  <c r="G62" i="52"/>
  <c r="F71" i="52"/>
  <c r="F72" i="52"/>
  <c r="F70" i="52"/>
  <c r="F69" i="52"/>
  <c r="F68" i="52"/>
  <c r="F67" i="52"/>
  <c r="F66" i="52"/>
  <c r="F65" i="52"/>
  <c r="H65" i="52" s="1" a="1"/>
  <c r="H65" i="52" s="1"/>
  <c r="I65" i="52" s="1" a="1"/>
  <c r="I65" i="52" s="1"/>
  <c r="F64" i="52"/>
  <c r="F63" i="52"/>
  <c r="F62" i="52"/>
  <c r="F61" i="52"/>
  <c r="H46" i="56"/>
  <c r="H47" i="56"/>
  <c r="H48" i="56"/>
  <c r="H49" i="56"/>
  <c r="H50" i="56"/>
  <c r="H51" i="56"/>
  <c r="H52" i="56"/>
  <c r="H53" i="56"/>
  <c r="H54" i="56"/>
  <c r="H55" i="56"/>
  <c r="H56" i="56"/>
  <c r="H57" i="56"/>
  <c r="H58" i="56"/>
  <c r="H59" i="56"/>
  <c r="H60" i="56"/>
  <c r="H61" i="56"/>
  <c r="H62" i="56"/>
  <c r="H63" i="56"/>
  <c r="H64" i="56"/>
  <c r="H45" i="56"/>
  <c r="H26" i="56"/>
  <c r="H27" i="56"/>
  <c r="H28" i="56"/>
  <c r="H29" i="56"/>
  <c r="H30" i="56"/>
  <c r="H31" i="56"/>
  <c r="H32" i="56"/>
  <c r="H33" i="56"/>
  <c r="H34" i="56"/>
  <c r="H35" i="56"/>
  <c r="H36" i="56"/>
  <c r="H37" i="56"/>
  <c r="H38" i="56"/>
  <c r="H39" i="56"/>
  <c r="H40" i="56"/>
  <c r="H41" i="56"/>
  <c r="H42" i="56"/>
  <c r="H43" i="56"/>
  <c r="H44" i="56"/>
  <c r="H25" i="56"/>
  <c r="F77" i="56"/>
  <c r="F76" i="56"/>
  <c r="F75" i="56"/>
  <c r="F74" i="56"/>
  <c r="F73" i="56"/>
  <c r="F72" i="56"/>
  <c r="F71" i="56"/>
  <c r="F70" i="56"/>
  <c r="F69" i="56"/>
  <c r="E76" i="56"/>
  <c r="E75" i="56"/>
  <c r="E72" i="56"/>
  <c r="E69" i="56"/>
  <c r="E70" i="56"/>
  <c r="E78" i="52" l="1"/>
  <c r="F78" i="52" s="1" a="1"/>
  <c r="F78" i="52" s="1"/>
  <c r="E77" i="52"/>
  <c r="F77" i="52" s="1" a="1"/>
  <c r="F77" i="52" s="1"/>
  <c r="E79" i="52"/>
  <c r="F79" i="52" s="1" a="1"/>
  <c r="F79" i="52" s="1"/>
  <c r="D84" i="52" s="1" a="1"/>
  <c r="D84" i="52" s="1"/>
  <c r="H39" i="52"/>
  <c r="H27" i="52"/>
  <c r="H14" i="52"/>
  <c r="H51" i="52"/>
  <c r="H55" i="52"/>
  <c r="H36" i="52"/>
  <c r="H26" i="52"/>
  <c r="H40" i="52"/>
  <c r="H49" i="52"/>
  <c r="H24" i="52"/>
  <c r="H48" i="52"/>
  <c r="H13" i="52"/>
  <c r="H31" i="52"/>
  <c r="H25" i="52"/>
  <c r="H40" i="41"/>
  <c r="H32" i="41"/>
  <c r="H37" i="41"/>
  <c r="H29" i="41"/>
  <c r="H22" i="41"/>
  <c r="H30" i="41"/>
  <c r="D46" i="53"/>
  <c r="G46" i="53" s="1" a="1"/>
  <c r="G46" i="53" s="1"/>
  <c r="H46" i="53" s="1" a="1"/>
  <c r="H46" i="53" s="1"/>
  <c r="H35" i="27"/>
  <c r="H36" i="27"/>
  <c r="H37" i="27"/>
  <c r="H38" i="27"/>
  <c r="H39" i="27"/>
  <c r="H40" i="27"/>
  <c r="H41" i="27"/>
  <c r="H42" i="27"/>
  <c r="H43" i="27"/>
  <c r="H44" i="27"/>
  <c r="H45" i="27"/>
  <c r="H46" i="27"/>
  <c r="H47" i="27"/>
  <c r="H48" i="27"/>
  <c r="H34" i="27"/>
  <c r="H11" i="27"/>
  <c r="H12" i="27"/>
  <c r="H13" i="27"/>
  <c r="H14" i="27"/>
  <c r="H10" i="27"/>
  <c r="F58" i="27"/>
  <c r="F57" i="27"/>
  <c r="F56" i="27"/>
  <c r="F55" i="27"/>
  <c r="F54" i="27"/>
  <c r="F53" i="27"/>
  <c r="E57" i="27"/>
  <c r="E58" i="27"/>
  <c r="E56" i="27"/>
  <c r="E55" i="27"/>
  <c r="E54" i="27"/>
  <c r="E53" i="27"/>
  <c r="F69" i="39"/>
  <c r="F68" i="39"/>
  <c r="F67" i="39"/>
  <c r="F66" i="39"/>
  <c r="F65" i="39"/>
  <c r="F64" i="39"/>
  <c r="F63" i="39"/>
  <c r="F62" i="39"/>
  <c r="F61" i="39"/>
  <c r="F60" i="39"/>
  <c r="F59" i="39"/>
  <c r="F58" i="39"/>
  <c r="F52" i="41"/>
  <c r="F51" i="41"/>
  <c r="F50" i="41"/>
  <c r="F49" i="41"/>
  <c r="F48" i="41"/>
  <c r="F47" i="41"/>
  <c r="F46" i="41"/>
  <c r="F45" i="41"/>
  <c r="C17" i="41"/>
  <c r="H53" i="52" l="1"/>
  <c r="H29" i="52"/>
  <c r="H16" i="52"/>
  <c r="H41" i="52"/>
  <c r="H30" i="52"/>
  <c r="H42" i="52"/>
  <c r="H54" i="52"/>
  <c r="D47" i="53"/>
  <c r="G47" i="53" s="1" a="1"/>
  <c r="G47" i="53" s="1"/>
  <c r="H47" i="53" s="1" a="1"/>
  <c r="H47" i="53" s="1"/>
  <c r="I5" i="57"/>
  <c r="I6" i="57"/>
  <c r="I7" i="57"/>
  <c r="I8" i="57"/>
  <c r="I9" i="57"/>
  <c r="I10" i="57"/>
  <c r="I11" i="57"/>
  <c r="I12" i="57"/>
  <c r="I13" i="57"/>
  <c r="I14" i="57"/>
  <c r="I15" i="57"/>
  <c r="I16" i="57"/>
  <c r="I17" i="57"/>
  <c r="I18" i="57"/>
  <c r="I19" i="57"/>
  <c r="I20" i="57"/>
  <c r="H5" i="57"/>
  <c r="H6" i="57"/>
  <c r="H7" i="57"/>
  <c r="H8" i="57"/>
  <c r="H9" i="57"/>
  <c r="H10" i="57"/>
  <c r="H11" i="57"/>
  <c r="H12" i="57"/>
  <c r="H13" i="57"/>
  <c r="H14" i="57"/>
  <c r="H15" i="57"/>
  <c r="H16" i="57"/>
  <c r="H17" i="57"/>
  <c r="H18" i="57"/>
  <c r="H19" i="57"/>
  <c r="H20" i="57"/>
  <c r="E17" i="41"/>
  <c r="H56" i="52" l="1"/>
  <c r="H44" i="52"/>
  <c r="H32" i="52"/>
  <c r="D5" i="33" l="1"/>
  <c r="D6" i="33"/>
  <c r="D7" i="33"/>
  <c r="D8" i="33"/>
  <c r="D9" i="33"/>
  <c r="D10" i="33"/>
  <c r="D11" i="33"/>
  <c r="D12" i="33"/>
  <c r="D13" i="33"/>
  <c r="D14" i="33"/>
  <c r="D15" i="33"/>
  <c r="D16" i="33"/>
  <c r="D17" i="33"/>
  <c r="D18" i="33"/>
  <c r="D19" i="33"/>
  <c r="D20" i="33"/>
  <c r="D21" i="33"/>
  <c r="D22" i="33"/>
  <c r="D23" i="33"/>
  <c r="D24" i="33"/>
  <c r="D25" i="33"/>
  <c r="D26" i="33"/>
  <c r="D27" i="33"/>
  <c r="D28" i="33"/>
  <c r="D29" i="33"/>
  <c r="D30" i="33"/>
  <c r="D31" i="33"/>
  <c r="D32" i="33"/>
  <c r="D33" i="33"/>
  <c r="D34" i="33"/>
  <c r="D35" i="33"/>
  <c r="D36" i="33"/>
  <c r="D37" i="33"/>
  <c r="D38" i="33"/>
  <c r="D39" i="33"/>
  <c r="D40" i="33"/>
  <c r="D41" i="33"/>
  <c r="D42" i="33"/>
  <c r="D43" i="33"/>
  <c r="D44" i="33"/>
  <c r="D45" i="33"/>
  <c r="D46" i="33"/>
  <c r="D47" i="33"/>
  <c r="D48" i="33"/>
  <c r="C5" i="33"/>
  <c r="C6" i="33"/>
  <c r="C7" i="33"/>
  <c r="C8" i="33"/>
  <c r="C9" i="33"/>
  <c r="C10" i="33"/>
  <c r="C11" i="33"/>
  <c r="C12" i="33"/>
  <c r="C13" i="33"/>
  <c r="C14" i="33"/>
  <c r="C15" i="33"/>
  <c r="C16" i="33"/>
  <c r="C17" i="33"/>
  <c r="C18" i="33"/>
  <c r="C19" i="33"/>
  <c r="C20" i="33"/>
  <c r="C21" i="33"/>
  <c r="C22" i="33"/>
  <c r="C23" i="33"/>
  <c r="C24" i="33"/>
  <c r="C25" i="33"/>
  <c r="C26" i="33"/>
  <c r="C27" i="33"/>
  <c r="C28" i="33"/>
  <c r="C29" i="33"/>
  <c r="C30" i="33"/>
  <c r="C31" i="33"/>
  <c r="C32" i="33"/>
  <c r="C33" i="33"/>
  <c r="C34" i="33"/>
  <c r="C35" i="33"/>
  <c r="C36" i="33"/>
  <c r="C37" i="33"/>
  <c r="C38" i="33"/>
  <c r="C39" i="33"/>
  <c r="C40" i="33"/>
  <c r="C41" i="33"/>
  <c r="C42" i="33"/>
  <c r="C43" i="33"/>
  <c r="C44" i="33"/>
  <c r="C45" i="33"/>
  <c r="C46" i="33"/>
  <c r="C47" i="33"/>
  <c r="C48" i="33"/>
  <c r="B5" i="33"/>
  <c r="B6" i="33"/>
  <c r="B7" i="33"/>
  <c r="B8" i="33"/>
  <c r="B9" i="33"/>
  <c r="B10" i="33"/>
  <c r="B11" i="33"/>
  <c r="B12" i="33"/>
  <c r="B13" i="33"/>
  <c r="B14" i="33"/>
  <c r="B15" i="33"/>
  <c r="B16" i="33"/>
  <c r="B17" i="33"/>
  <c r="B18" i="33"/>
  <c r="B19" i="33"/>
  <c r="B20" i="33"/>
  <c r="B21" i="33"/>
  <c r="B22" i="33"/>
  <c r="B23" i="33"/>
  <c r="B24" i="33"/>
  <c r="B25" i="33"/>
  <c r="B26" i="33"/>
  <c r="B27" i="33"/>
  <c r="B28" i="33"/>
  <c r="B29" i="33"/>
  <c r="B30" i="33"/>
  <c r="B31" i="33"/>
  <c r="B32" i="33"/>
  <c r="B33" i="33"/>
  <c r="B34" i="33"/>
  <c r="B35" i="33"/>
  <c r="B36" i="33"/>
  <c r="B37" i="33"/>
  <c r="B38" i="33"/>
  <c r="B39" i="33"/>
  <c r="B40" i="33"/>
  <c r="B41" i="33"/>
  <c r="B42" i="33"/>
  <c r="B43" i="33"/>
  <c r="B44" i="33"/>
  <c r="B45" i="33"/>
  <c r="B46" i="33"/>
  <c r="B47" i="33"/>
  <c r="B48" i="33"/>
  <c r="A5" i="33"/>
  <c r="A6" i="33"/>
  <c r="A7" i="33"/>
  <c r="A8" i="33"/>
  <c r="A9" i="33"/>
  <c r="A10" i="33"/>
  <c r="A11" i="33"/>
  <c r="A12" i="33"/>
  <c r="A13" i="33"/>
  <c r="A14" i="33"/>
  <c r="A15" i="33"/>
  <c r="A16" i="33"/>
  <c r="A17" i="33"/>
  <c r="A18" i="33"/>
  <c r="A19" i="33"/>
  <c r="A20" i="33"/>
  <c r="A21" i="33"/>
  <c r="A22" i="33"/>
  <c r="A23" i="33"/>
  <c r="A24" i="33"/>
  <c r="A25" i="33"/>
  <c r="A26" i="33"/>
  <c r="A27" i="33"/>
  <c r="A28" i="33"/>
  <c r="A29" i="33"/>
  <c r="A30" i="33"/>
  <c r="A31" i="33"/>
  <c r="A32" i="33"/>
  <c r="A33" i="33"/>
  <c r="A34" i="33"/>
  <c r="A35" i="33"/>
  <c r="A36" i="33"/>
  <c r="A37" i="33"/>
  <c r="A38" i="33"/>
  <c r="A39" i="33"/>
  <c r="A40" i="33"/>
  <c r="A41" i="33"/>
  <c r="A42" i="33"/>
  <c r="A43" i="33"/>
  <c r="A44" i="33"/>
  <c r="A45" i="33"/>
  <c r="A46" i="33"/>
  <c r="A47" i="33"/>
  <c r="A48" i="33"/>
  <c r="C5" i="52" l="1"/>
  <c r="C77" i="52" s="1"/>
  <c r="C84" i="52" s="1"/>
  <c r="E19" i="27"/>
  <c r="E20" i="27" s="1"/>
  <c r="E21" i="27" s="1"/>
  <c r="E22" i="27" s="1"/>
  <c r="E23" i="27" s="1"/>
  <c r="E24" i="27" s="1"/>
  <c r="E25" i="27" s="1"/>
  <c r="E26" i="27" s="1"/>
  <c r="E27" i="27" s="1"/>
  <c r="E28" i="27" s="1"/>
  <c r="E29" i="27" s="1"/>
  <c r="E30" i="27" s="1"/>
  <c r="E31" i="27" s="1"/>
  <c r="E32" i="27" s="1"/>
  <c r="E33" i="27" s="1"/>
  <c r="E6" i="27"/>
  <c r="D53" i="27" s="1"/>
  <c r="G53" i="27" s="1" a="1"/>
  <c r="G53" i="27" s="1"/>
  <c r="H53" i="27" s="1" a="1"/>
  <c r="H53" i="27" s="1"/>
  <c r="E18" i="41"/>
  <c r="E19" i="41" s="1"/>
  <c r="E20" i="41" s="1"/>
  <c r="E21" i="41" s="1"/>
  <c r="E22" i="41" s="1"/>
  <c r="E23" i="41" s="1"/>
  <c r="E24" i="41" s="1"/>
  <c r="E25" i="41" s="1"/>
  <c r="E26" i="41" s="1"/>
  <c r="E27" i="41" s="1"/>
  <c r="E28" i="41" s="1"/>
  <c r="E6" i="41"/>
  <c r="E53" i="53"/>
  <c r="E52" i="53"/>
  <c r="E51" i="53"/>
  <c r="D60" i="53" s="1"/>
  <c r="E50" i="53"/>
  <c r="E49" i="53"/>
  <c r="E48" i="53"/>
  <c r="D59" i="53" s="1"/>
  <c r="E47" i="53"/>
  <c r="E46" i="53"/>
  <c r="E45" i="53"/>
  <c r="E77" i="56"/>
  <c r="D84" i="56"/>
  <c r="E74" i="56"/>
  <c r="E73" i="56"/>
  <c r="D83" i="56"/>
  <c r="E71" i="56"/>
  <c r="E72" i="52"/>
  <c r="E71" i="52"/>
  <c r="E70" i="52"/>
  <c r="E69" i="52"/>
  <c r="D79" i="52" s="1"/>
  <c r="E68" i="52"/>
  <c r="E67" i="52"/>
  <c r="E66" i="52"/>
  <c r="E64" i="52"/>
  <c r="D72" i="52"/>
  <c r="D71" i="52"/>
  <c r="D70" i="52"/>
  <c r="D69" i="52"/>
  <c r="D68" i="52"/>
  <c r="D67" i="52"/>
  <c r="D66" i="52"/>
  <c r="D65" i="52"/>
  <c r="D64" i="52"/>
  <c r="D63" i="52"/>
  <c r="D62" i="52"/>
  <c r="D61" i="52"/>
  <c r="E65" i="52"/>
  <c r="D78" i="52" s="1"/>
  <c r="E63" i="52"/>
  <c r="E62" i="52"/>
  <c r="E61" i="52"/>
  <c r="D77" i="52" s="1"/>
  <c r="D65" i="27"/>
  <c r="D64" i="27"/>
  <c r="D58" i="27"/>
  <c r="G58" i="27" s="1" a="1"/>
  <c r="G58" i="27" s="1"/>
  <c r="H58" i="27" s="1" a="1"/>
  <c r="H58" i="27" s="1"/>
  <c r="D56" i="27"/>
  <c r="G56" i="27" s="1" a="1"/>
  <c r="G56" i="27" s="1"/>
  <c r="H56" i="27" s="1" a="1"/>
  <c r="H56" i="27" s="1"/>
  <c r="D54" i="27"/>
  <c r="G54" i="27" s="1" a="1"/>
  <c r="G54" i="27" s="1"/>
  <c r="H54" i="27" s="1" a="1"/>
  <c r="H54" i="27" s="1"/>
  <c r="C6" i="27"/>
  <c r="C7" i="27" s="1"/>
  <c r="C8" i="27" s="1"/>
  <c r="C9" i="27" s="1"/>
  <c r="C10" i="27" s="1"/>
  <c r="C11" i="27" s="1"/>
  <c r="C12" i="27" s="1"/>
  <c r="C13" i="27" s="1"/>
  <c r="C14" i="27" s="1"/>
  <c r="C18" i="41"/>
  <c r="C19" i="41" s="1"/>
  <c r="C20" i="41" s="1"/>
  <c r="C21" i="41" s="1"/>
  <c r="C22" i="41" s="1"/>
  <c r="C23" i="41" s="1"/>
  <c r="C24" i="41" s="1"/>
  <c r="C25" i="41" s="1"/>
  <c r="C26" i="41" s="1"/>
  <c r="C27" i="41" s="1"/>
  <c r="C28" i="41" s="1"/>
  <c r="C29" i="41" s="1"/>
  <c r="C30" i="41" s="1"/>
  <c r="C31" i="41" s="1"/>
  <c r="C32" i="41" s="1"/>
  <c r="C33" i="41" s="1"/>
  <c r="C34" i="41" s="1"/>
  <c r="C35" i="41" s="1"/>
  <c r="C36" i="41" s="1"/>
  <c r="C37" i="41" s="1"/>
  <c r="C38" i="41" s="1"/>
  <c r="C39" i="41" s="1"/>
  <c r="C40" i="41" s="1"/>
  <c r="E7" i="41" l="1"/>
  <c r="E8" i="41" s="1"/>
  <c r="D51" i="41" s="1"/>
  <c r="D45" i="41"/>
  <c r="E63" i="27" a="1"/>
  <c r="E63" i="27" s="1"/>
  <c r="F63" i="27" s="1" a="1"/>
  <c r="F63" i="27" s="1"/>
  <c r="E7" i="27"/>
  <c r="E8" i="27" s="1"/>
  <c r="D57" i="27" s="1"/>
  <c r="G45" i="41" a="1"/>
  <c r="G45" i="41" s="1"/>
  <c r="H45" i="41" s="1" a="1"/>
  <c r="H45" i="41" s="1"/>
  <c r="AE32" i="52"/>
  <c r="C6" i="41"/>
  <c r="C7" i="41" s="1"/>
  <c r="C8" i="41" s="1"/>
  <c r="C9" i="41" s="1"/>
  <c r="C10" i="41" s="1"/>
  <c r="C11" i="41" s="1"/>
  <c r="C12" i="41" s="1"/>
  <c r="C52" i="41" s="1"/>
  <c r="C6" i="52"/>
  <c r="C78" i="52" s="1"/>
  <c r="C21" i="52"/>
  <c r="C22" i="52" s="1"/>
  <c r="C23" i="52" s="1"/>
  <c r="C24" i="52" s="1"/>
  <c r="C25" i="52" s="1"/>
  <c r="C26" i="52" s="1"/>
  <c r="C27" i="52" s="1"/>
  <c r="C28" i="52" s="1"/>
  <c r="C29" i="52" s="1"/>
  <c r="C30" i="52" s="1"/>
  <c r="C31" i="52" s="1"/>
  <c r="C32" i="52" s="1"/>
  <c r="C33" i="52" s="1"/>
  <c r="C34" i="52" s="1"/>
  <c r="C35" i="52" s="1"/>
  <c r="C36" i="52" s="1"/>
  <c r="C37" i="52" s="1"/>
  <c r="C38" i="52" s="1"/>
  <c r="C39" i="52" s="1"/>
  <c r="C40" i="52" s="1"/>
  <c r="C41" i="52" s="1"/>
  <c r="C42" i="52" s="1"/>
  <c r="C43" i="52" s="1"/>
  <c r="C44" i="52" s="1"/>
  <c r="C45" i="52" s="1"/>
  <c r="C46" i="52" s="1"/>
  <c r="C47" i="52" s="1"/>
  <c r="C48" i="52" s="1"/>
  <c r="C49" i="52" s="1"/>
  <c r="C50" i="52" s="1"/>
  <c r="C51" i="52" s="1"/>
  <c r="C52" i="52" s="1"/>
  <c r="C53" i="52" s="1"/>
  <c r="C54" i="52" s="1"/>
  <c r="C55" i="52" s="1"/>
  <c r="C56" i="52" s="1"/>
  <c r="AE33" i="52"/>
  <c r="AF23" i="52"/>
  <c r="AF26" i="52"/>
  <c r="AE25" i="52"/>
  <c r="AF20" i="52"/>
  <c r="AE28" i="52"/>
  <c r="AE22" i="52"/>
  <c r="AE34" i="52"/>
  <c r="D47" i="41"/>
  <c r="C53" i="27"/>
  <c r="C63" i="27" s="1"/>
  <c r="C70" i="27" s="1"/>
  <c r="C54" i="27"/>
  <c r="C56" i="27"/>
  <c r="C55" i="27"/>
  <c r="C64" i="27" s="1"/>
  <c r="C58" i="27"/>
  <c r="C57" i="27"/>
  <c r="C65" i="27" s="1"/>
  <c r="C19" i="27"/>
  <c r="C61" i="52"/>
  <c r="D58" i="53"/>
  <c r="C45" i="41"/>
  <c r="D46" i="41"/>
  <c r="G46" i="41" s="1" a="1"/>
  <c r="G46" i="41" s="1"/>
  <c r="H46" i="41" s="1" a="1"/>
  <c r="H46" i="41" s="1"/>
  <c r="D48" i="41"/>
  <c r="G48" i="41" s="1" a="1"/>
  <c r="G48" i="41" s="1"/>
  <c r="H48" i="41" s="1" a="1"/>
  <c r="H48" i="41" s="1"/>
  <c r="D50" i="41"/>
  <c r="G50" i="41" s="1" a="1"/>
  <c r="G50" i="41" s="1"/>
  <c r="H50" i="41" s="1" a="1"/>
  <c r="H50" i="41" s="1"/>
  <c r="D52" i="41"/>
  <c r="G52" i="41" s="1" a="1"/>
  <c r="G52" i="41" s="1"/>
  <c r="H52" i="41" s="1" a="1"/>
  <c r="H52" i="41" s="1"/>
  <c r="E52" i="41"/>
  <c r="E51" i="41"/>
  <c r="D60" i="41" s="1"/>
  <c r="E50" i="41"/>
  <c r="E49" i="41"/>
  <c r="D59" i="41" s="1"/>
  <c r="E48" i="41"/>
  <c r="E47" i="41"/>
  <c r="D58" i="41" s="1"/>
  <c r="E46" i="41"/>
  <c r="D57" i="41"/>
  <c r="D82" i="56"/>
  <c r="D63" i="27"/>
  <c r="E46" i="56"/>
  <c r="E26" i="56"/>
  <c r="D70" i="56" s="1"/>
  <c r="G70" i="56" s="1" a="1"/>
  <c r="G70" i="56" s="1"/>
  <c r="H70" i="56" s="1" a="1"/>
  <c r="H70" i="56" s="1"/>
  <c r="E6" i="56"/>
  <c r="D69" i="56" s="1"/>
  <c r="G69" i="56" s="1" a="1"/>
  <c r="G69" i="56" s="1"/>
  <c r="H69" i="56" s="1" a="1"/>
  <c r="H69" i="56" s="1"/>
  <c r="C69" i="56"/>
  <c r="C82" i="56" s="1"/>
  <c r="C89" i="56" s="1"/>
  <c r="D53" i="53"/>
  <c r="G53" i="53" s="1" a="1"/>
  <c r="G53" i="53" s="1"/>
  <c r="H53" i="53" s="1" a="1"/>
  <c r="H53" i="53" s="1"/>
  <c r="D50" i="53"/>
  <c r="G50" i="53" s="1" a="1"/>
  <c r="G50" i="53" s="1"/>
  <c r="H50" i="53" s="1" a="1"/>
  <c r="H50" i="53" s="1"/>
  <c r="D52" i="53"/>
  <c r="G52" i="53" s="1" a="1"/>
  <c r="G52" i="53" s="1"/>
  <c r="H52" i="53" s="1" a="1"/>
  <c r="H52" i="53" s="1"/>
  <c r="D49" i="53"/>
  <c r="G49" i="53" s="1" a="1"/>
  <c r="G49" i="53" s="1"/>
  <c r="H49" i="53" s="1" a="1"/>
  <c r="H49" i="53" s="1"/>
  <c r="E6" i="53"/>
  <c r="C58" i="39"/>
  <c r="C74" i="39" s="1"/>
  <c r="C82" i="39" s="1"/>
  <c r="E58" i="39"/>
  <c r="D74" i="39" s="1"/>
  <c r="E59" i="39"/>
  <c r="E60" i="39"/>
  <c r="E61" i="39"/>
  <c r="D75" i="39" s="1"/>
  <c r="E62" i="39"/>
  <c r="E63" i="39"/>
  <c r="E64" i="39"/>
  <c r="D76" i="39" s="1"/>
  <c r="E65" i="39"/>
  <c r="E66" i="39"/>
  <c r="E67" i="39"/>
  <c r="D77" i="39" s="1"/>
  <c r="E68" i="39"/>
  <c r="E69" i="39"/>
  <c r="E52" i="39"/>
  <c r="E51" i="39"/>
  <c r="E50" i="39"/>
  <c r="E49" i="39"/>
  <c r="E48" i="39"/>
  <c r="E47" i="39"/>
  <c r="E46" i="39"/>
  <c r="E45" i="39"/>
  <c r="E44" i="39"/>
  <c r="E43" i="39"/>
  <c r="E42" i="39"/>
  <c r="E41" i="39"/>
  <c r="E40" i="39"/>
  <c r="D69" i="39" s="1"/>
  <c r="G69" i="39" s="1" a="1"/>
  <c r="G69" i="39" s="1"/>
  <c r="H69" i="39" s="1" a="1"/>
  <c r="H69" i="39" s="1"/>
  <c r="E39" i="39"/>
  <c r="D66" i="39" s="1"/>
  <c r="G66" i="39" s="1" a="1"/>
  <c r="G66" i="39" s="1"/>
  <c r="H66" i="39" s="1" a="1"/>
  <c r="H66" i="39" s="1"/>
  <c r="E38" i="39"/>
  <c r="E36" i="39"/>
  <c r="E35" i="39"/>
  <c r="E34" i="39"/>
  <c r="E33" i="39"/>
  <c r="E32" i="39"/>
  <c r="E31" i="39"/>
  <c r="E30" i="39"/>
  <c r="E29" i="39"/>
  <c r="E28" i="39"/>
  <c r="E27" i="39"/>
  <c r="E26" i="39"/>
  <c r="E25" i="39"/>
  <c r="E24" i="39"/>
  <c r="D68" i="39" s="1"/>
  <c r="G68" i="39" s="1" a="1"/>
  <c r="G68" i="39" s="1"/>
  <c r="H68" i="39" s="1" a="1"/>
  <c r="H68" i="39" s="1"/>
  <c r="E23" i="39"/>
  <c r="D65" i="39" s="1"/>
  <c r="G65" i="39" s="1" a="1"/>
  <c r="G65" i="39" s="1"/>
  <c r="H65" i="39" s="1" a="1"/>
  <c r="H65" i="39" s="1"/>
  <c r="E22" i="39"/>
  <c r="E8" i="39"/>
  <c r="E9" i="39" s="1"/>
  <c r="E7" i="39"/>
  <c r="D64" i="39" s="1"/>
  <c r="G64" i="39" s="1" a="1"/>
  <c r="G64" i="39" s="1"/>
  <c r="H64" i="39" s="1" a="1"/>
  <c r="H64" i="39" s="1"/>
  <c r="E6" i="39"/>
  <c r="E57" i="41" l="1" a="1"/>
  <c r="E57" i="41" s="1"/>
  <c r="F57" i="41" s="1" a="1"/>
  <c r="F57" i="41" s="1"/>
  <c r="C6" i="53"/>
  <c r="C7" i="53" s="1"/>
  <c r="C8" i="53" s="1"/>
  <c r="C45" i="53"/>
  <c r="C58" i="53" s="1"/>
  <c r="C65" i="53" s="1"/>
  <c r="D49" i="41"/>
  <c r="G49" i="41" s="1" a="1"/>
  <c r="G49" i="41" s="1"/>
  <c r="H49" i="41" s="1" a="1"/>
  <c r="H49" i="41" s="1"/>
  <c r="D63" i="39"/>
  <c r="G63" i="39" s="1" a="1"/>
  <c r="G63" i="39" s="1"/>
  <c r="H63" i="39" s="1" a="1"/>
  <c r="H63" i="39" s="1"/>
  <c r="D60" i="39"/>
  <c r="G60" i="39" s="1" a="1"/>
  <c r="G60" i="39" s="1"/>
  <c r="H60" i="39" s="1" a="1"/>
  <c r="H60" i="39" s="1"/>
  <c r="D62" i="39"/>
  <c r="G62" i="39" s="1" a="1"/>
  <c r="G62" i="39" s="1"/>
  <c r="H62" i="39" s="1" a="1"/>
  <c r="H62" i="39" s="1"/>
  <c r="D59" i="39"/>
  <c r="G59" i="39" s="1" a="1"/>
  <c r="G59" i="39" s="1"/>
  <c r="H59" i="39" s="1" a="1"/>
  <c r="H59" i="39" s="1"/>
  <c r="D61" i="39"/>
  <c r="G61" i="39" s="1" a="1"/>
  <c r="G61" i="39" s="1"/>
  <c r="H61" i="39" s="1" a="1"/>
  <c r="H61" i="39" s="1"/>
  <c r="D58" i="39"/>
  <c r="G58" i="39" s="1" a="1"/>
  <c r="G58" i="39" s="1"/>
  <c r="H58" i="39" s="1" a="1"/>
  <c r="H58" i="39" s="1"/>
  <c r="E7" i="53"/>
  <c r="E8" i="53" s="1"/>
  <c r="D45" i="53"/>
  <c r="E76" i="39"/>
  <c r="F76" i="39" s="1" a="1"/>
  <c r="F76" i="39" s="1"/>
  <c r="E47" i="56"/>
  <c r="E48" i="56" s="1"/>
  <c r="D77" i="56" s="1"/>
  <c r="G77" i="56" s="1" a="1"/>
  <c r="G77" i="56" s="1"/>
  <c r="H77" i="56" s="1" a="1"/>
  <c r="H77" i="56" s="1"/>
  <c r="D71" i="56"/>
  <c r="G71" i="56" s="1" a="1"/>
  <c r="G71" i="56" s="1"/>
  <c r="H71" i="56" s="1" a="1"/>
  <c r="H71" i="56" s="1"/>
  <c r="E82" i="56" s="1"/>
  <c r="F82" i="56" s="1" a="1"/>
  <c r="F82" i="56" s="1"/>
  <c r="G57" i="27" a="1"/>
  <c r="G57" i="27" s="1"/>
  <c r="H57" i="27" s="1" a="1"/>
  <c r="H57" i="27" s="1"/>
  <c r="E65" i="27" s="1" a="1"/>
  <c r="E65" i="27" s="1"/>
  <c r="F65" i="27" s="1" a="1"/>
  <c r="F65" i="27" s="1"/>
  <c r="D55" i="27"/>
  <c r="E9" i="27"/>
  <c r="G51" i="41" a="1"/>
  <c r="G51" i="41" s="1"/>
  <c r="H51" i="41" s="1" a="1"/>
  <c r="H51" i="41" s="1"/>
  <c r="E60" i="41" s="1" a="1"/>
  <c r="E60" i="41" s="1"/>
  <c r="F60" i="41" s="1" a="1"/>
  <c r="F60" i="41" s="1"/>
  <c r="G47" i="41" a="1"/>
  <c r="G47" i="41" s="1"/>
  <c r="H47" i="41" s="1" a="1"/>
  <c r="H47" i="41" s="1"/>
  <c r="E58" i="41" s="1" a="1"/>
  <c r="E58" i="41" s="1"/>
  <c r="F58" i="41" s="1" a="1"/>
  <c r="F58" i="41" s="1"/>
  <c r="C47" i="41"/>
  <c r="C57" i="41" s="1"/>
  <c r="C65" i="41" s="1"/>
  <c r="C67" i="52"/>
  <c r="C46" i="41"/>
  <c r="C50" i="41"/>
  <c r="C60" i="41" s="1"/>
  <c r="C51" i="41" s="1"/>
  <c r="C49" i="41"/>
  <c r="C59" i="41" s="1"/>
  <c r="C48" i="41"/>
  <c r="C58" i="41" s="1"/>
  <c r="C72" i="52"/>
  <c r="C65" i="52"/>
  <c r="C71" i="52"/>
  <c r="C70" i="52"/>
  <c r="C64" i="52"/>
  <c r="C69" i="52"/>
  <c r="C63" i="52"/>
  <c r="C62" i="52"/>
  <c r="C7" i="52"/>
  <c r="D74" i="56"/>
  <c r="G74" i="56" s="1" a="1"/>
  <c r="G74" i="56" s="1"/>
  <c r="H74" i="56" s="1" a="1"/>
  <c r="H74" i="56" s="1"/>
  <c r="C10" i="56"/>
  <c r="C20" i="27"/>
  <c r="C55" i="56"/>
  <c r="C62" i="56"/>
  <c r="C59" i="56"/>
  <c r="C61" i="56"/>
  <c r="C51" i="56"/>
  <c r="C57" i="56"/>
  <c r="C54" i="56"/>
  <c r="C63" i="56"/>
  <c r="C56" i="56"/>
  <c r="C53" i="56"/>
  <c r="C50" i="56"/>
  <c r="C64" i="56"/>
  <c r="C60" i="56"/>
  <c r="C58" i="56"/>
  <c r="C52" i="56"/>
  <c r="C44" i="56"/>
  <c r="C49" i="56"/>
  <c r="C40" i="56"/>
  <c r="C29" i="56"/>
  <c r="C76" i="56" s="1"/>
  <c r="C22" i="56"/>
  <c r="C15" i="56"/>
  <c r="C9" i="56"/>
  <c r="C41" i="56"/>
  <c r="C35" i="56"/>
  <c r="C23" i="56"/>
  <c r="C16" i="56"/>
  <c r="C48" i="56"/>
  <c r="C77" i="56" s="1"/>
  <c r="C28" i="56"/>
  <c r="C21" i="56"/>
  <c r="C8" i="56"/>
  <c r="C75" i="56" s="1"/>
  <c r="C47" i="56"/>
  <c r="C74" i="56" s="1"/>
  <c r="C34" i="56"/>
  <c r="C27" i="56"/>
  <c r="C73" i="56" s="1"/>
  <c r="C20" i="56"/>
  <c r="C14" i="56"/>
  <c r="C7" i="56"/>
  <c r="C72" i="56" s="1"/>
  <c r="E27" i="56"/>
  <c r="D73" i="56" s="1"/>
  <c r="G73" i="56" s="1" a="1"/>
  <c r="G73" i="56" s="1"/>
  <c r="H73" i="56" s="1" a="1"/>
  <c r="H73" i="56" s="1"/>
  <c r="C46" i="56"/>
  <c r="C39" i="56"/>
  <c r="C33" i="56"/>
  <c r="C26" i="56"/>
  <c r="C13" i="56"/>
  <c r="C45" i="56"/>
  <c r="C71" i="56" s="1"/>
  <c r="C84" i="56" s="1"/>
  <c r="C38" i="56"/>
  <c r="C32" i="56"/>
  <c r="C25" i="56"/>
  <c r="C70" i="56" s="1"/>
  <c r="C83" i="56" s="1"/>
  <c r="C19" i="56"/>
  <c r="C12" i="56"/>
  <c r="E7" i="56"/>
  <c r="D72" i="56" s="1"/>
  <c r="G72" i="56" s="1" a="1"/>
  <c r="G72" i="56" s="1"/>
  <c r="H72" i="56" s="1" a="1"/>
  <c r="H72" i="56" s="1"/>
  <c r="C43" i="56"/>
  <c r="C37" i="56"/>
  <c r="C31" i="56"/>
  <c r="C18" i="56"/>
  <c r="C11" i="56"/>
  <c r="C6" i="56"/>
  <c r="C42" i="56"/>
  <c r="C36" i="56"/>
  <c r="C30" i="56"/>
  <c r="C24" i="56"/>
  <c r="C17" i="56"/>
  <c r="D67" i="39"/>
  <c r="C6" i="39"/>
  <c r="C7" i="39" s="1"/>
  <c r="C8" i="39" s="1"/>
  <c r="C9" i="39" s="1"/>
  <c r="C10" i="39" s="1"/>
  <c r="C11" i="39" s="1"/>
  <c r="C12" i="39" s="1"/>
  <c r="C13" i="39" s="1"/>
  <c r="C14" i="39" s="1"/>
  <c r="C15" i="39" s="1"/>
  <c r="C16" i="39" s="1"/>
  <c r="C17" i="39" s="1"/>
  <c r="C18" i="39" s="1"/>
  <c r="C19" i="39" s="1"/>
  <c r="C20" i="39" s="1"/>
  <c r="C21" i="39" s="1"/>
  <c r="C22" i="39" s="1"/>
  <c r="C23" i="39" s="1"/>
  <c r="C24" i="39" s="1"/>
  <c r="C25" i="39" s="1"/>
  <c r="C26" i="39" s="1"/>
  <c r="C27" i="39" s="1"/>
  <c r="C28" i="39" s="1"/>
  <c r="C29" i="39" s="1"/>
  <c r="C30" i="39" s="1"/>
  <c r="C31" i="39" s="1"/>
  <c r="C32" i="39" s="1"/>
  <c r="C33" i="39" s="1"/>
  <c r="C34" i="39" s="1"/>
  <c r="C35" i="39" s="1"/>
  <c r="C36" i="39" s="1"/>
  <c r="C37" i="39" s="1"/>
  <c r="C38" i="39" s="1"/>
  <c r="C39" i="39" s="1"/>
  <c r="C40" i="39" s="1"/>
  <c r="C41" i="39" s="1"/>
  <c r="C42" i="39" s="1"/>
  <c r="C43" i="39" s="1"/>
  <c r="C44" i="39" s="1"/>
  <c r="C45" i="39" s="1"/>
  <c r="C46" i="39" s="1"/>
  <c r="C47" i="39" s="1"/>
  <c r="C48" i="39" s="1"/>
  <c r="C49" i="39" s="1"/>
  <c r="C50" i="39" s="1"/>
  <c r="C51" i="39" s="1"/>
  <c r="C52" i="39" s="1"/>
  <c r="E11" i="39"/>
  <c r="E10" i="39"/>
  <c r="C9" i="53" l="1"/>
  <c r="C10" i="53" s="1"/>
  <c r="C11" i="53" s="1"/>
  <c r="C46" i="53"/>
  <c r="C59" i="53" s="1"/>
  <c r="D65" i="41" a="1"/>
  <c r="D65" i="41" s="1"/>
  <c r="E59" i="41" a="1"/>
  <c r="E59" i="41" s="1"/>
  <c r="F59" i="41" s="1" a="1"/>
  <c r="F59" i="41" s="1"/>
  <c r="E74" i="39"/>
  <c r="F74" i="39" s="1" a="1"/>
  <c r="F74" i="39" s="1"/>
  <c r="E75" i="39"/>
  <c r="F75" i="39" s="1" a="1"/>
  <c r="F75" i="39" s="1"/>
  <c r="G45" i="53" a="1"/>
  <c r="G45" i="53" s="1"/>
  <c r="H45" i="53" s="1" a="1"/>
  <c r="H45" i="53" s="1"/>
  <c r="E58" i="53" s="1"/>
  <c r="F58" i="53" s="1" a="1"/>
  <c r="F58" i="53" s="1"/>
  <c r="E9" i="53"/>
  <c r="E10" i="53" s="1"/>
  <c r="E11" i="53" s="1"/>
  <c r="E12" i="53" s="1"/>
  <c r="E13" i="53" s="1"/>
  <c r="E14" i="53" s="1"/>
  <c r="E15" i="53" s="1"/>
  <c r="E16" i="53" s="1"/>
  <c r="D48" i="53"/>
  <c r="G48" i="53" s="1" a="1"/>
  <c r="G48" i="53" s="1"/>
  <c r="H48" i="53" s="1" a="1"/>
  <c r="H48" i="53" s="1"/>
  <c r="E59" i="53" s="1"/>
  <c r="F59" i="53" s="1" a="1"/>
  <c r="F59" i="53" s="1"/>
  <c r="E83" i="56"/>
  <c r="F83" i="56" s="1" a="1"/>
  <c r="F83" i="56" s="1"/>
  <c r="E49" i="56"/>
  <c r="E50" i="56" s="1"/>
  <c r="E51" i="56" s="1"/>
  <c r="E52" i="56" s="1"/>
  <c r="E53" i="56" s="1"/>
  <c r="E54" i="56" s="1"/>
  <c r="E55" i="56" s="1"/>
  <c r="E56" i="56" s="1"/>
  <c r="E57" i="56" s="1"/>
  <c r="E58" i="56" s="1"/>
  <c r="E59" i="56" s="1"/>
  <c r="E60" i="56" s="1"/>
  <c r="E61" i="56" s="1"/>
  <c r="E62" i="56" s="1"/>
  <c r="E63" i="56" s="1"/>
  <c r="E64" i="56" s="1"/>
  <c r="G55" i="27" a="1"/>
  <c r="G55" i="27" s="1"/>
  <c r="H55" i="27" s="1" a="1"/>
  <c r="H55" i="27" s="1"/>
  <c r="E64" i="27" s="1" a="1"/>
  <c r="E64" i="27" s="1"/>
  <c r="F64" i="27" s="1" a="1"/>
  <c r="F64" i="27" s="1"/>
  <c r="D70" i="27" s="1" a="1"/>
  <c r="D70" i="27" s="1"/>
  <c r="G67" i="39" a="1"/>
  <c r="G67" i="39" s="1"/>
  <c r="H67" i="39" s="1" a="1"/>
  <c r="H67" i="39" s="1"/>
  <c r="C79" i="52"/>
  <c r="C8" i="52"/>
  <c r="C21" i="27"/>
  <c r="E8" i="56"/>
  <c r="D75" i="56" s="1"/>
  <c r="G75" i="56" s="1" a="1"/>
  <c r="G75" i="56" s="1"/>
  <c r="H75" i="56" s="1" a="1"/>
  <c r="H75" i="56" s="1"/>
  <c r="E28" i="56"/>
  <c r="C61" i="39"/>
  <c r="C77" i="39" s="1"/>
  <c r="E13" i="39"/>
  <c r="E12" i="39"/>
  <c r="E14" i="39"/>
  <c r="AB75" i="12"/>
  <c r="AB76" i="12"/>
  <c r="AB77" i="12"/>
  <c r="AB78" i="12"/>
  <c r="AB79" i="12"/>
  <c r="AB80" i="12"/>
  <c r="AB81" i="12"/>
  <c r="AB82" i="12"/>
  <c r="AB83" i="12"/>
  <c r="AB84" i="12"/>
  <c r="AB85" i="12"/>
  <c r="AB86" i="12"/>
  <c r="AB87" i="12"/>
  <c r="AB88" i="12"/>
  <c r="AB89" i="12"/>
  <c r="AB90" i="12"/>
  <c r="AB91" i="12"/>
  <c r="AB92" i="12"/>
  <c r="AB93" i="12"/>
  <c r="AB94" i="12"/>
  <c r="AB95" i="12"/>
  <c r="AB96" i="12"/>
  <c r="AB97" i="12"/>
  <c r="AB98" i="12"/>
  <c r="AB99" i="12"/>
  <c r="AB100" i="12"/>
  <c r="AB101" i="12"/>
  <c r="AB102" i="12"/>
  <c r="AB103" i="12"/>
  <c r="AB104" i="12"/>
  <c r="AB105" i="12"/>
  <c r="AB106" i="12"/>
  <c r="AB107" i="12"/>
  <c r="AB108" i="12"/>
  <c r="AB109" i="12"/>
  <c r="AB110" i="12"/>
  <c r="AB111" i="12"/>
  <c r="AB112" i="12"/>
  <c r="AB113" i="12"/>
  <c r="AB114" i="12"/>
  <c r="AB115" i="12"/>
  <c r="AB116" i="12"/>
  <c r="AB117" i="12"/>
  <c r="AB118" i="12"/>
  <c r="AB119" i="12"/>
  <c r="AB120" i="12"/>
  <c r="AB121" i="12"/>
  <c r="AB122" i="12"/>
  <c r="AB123" i="12"/>
  <c r="AB124" i="12"/>
  <c r="AB125" i="12"/>
  <c r="AB126" i="12"/>
  <c r="AB127" i="12"/>
  <c r="AB128" i="12"/>
  <c r="AB129" i="12"/>
  <c r="AB130" i="12"/>
  <c r="AB131" i="12"/>
  <c r="AB132" i="12"/>
  <c r="AB133" i="12"/>
  <c r="AB134" i="12"/>
  <c r="AB135" i="12"/>
  <c r="AB136" i="12"/>
  <c r="AB137" i="12"/>
  <c r="AB138" i="12"/>
  <c r="AB139" i="12"/>
  <c r="AB140" i="12"/>
  <c r="AB141" i="12"/>
  <c r="AB142" i="12"/>
  <c r="AB143" i="12"/>
  <c r="AB144" i="12"/>
  <c r="AB145" i="12"/>
  <c r="AB146" i="12"/>
  <c r="AB147" i="12"/>
  <c r="AB148" i="12"/>
  <c r="AB149" i="12"/>
  <c r="AB150" i="12"/>
  <c r="AB151" i="12"/>
  <c r="AB152" i="12"/>
  <c r="AB153" i="12"/>
  <c r="AB154" i="12"/>
  <c r="AB155" i="12"/>
  <c r="AB156" i="12"/>
  <c r="AB157" i="12"/>
  <c r="AB158" i="12"/>
  <c r="AB159" i="12"/>
  <c r="AB160" i="12"/>
  <c r="AB161" i="12"/>
  <c r="AB162" i="12"/>
  <c r="AB163" i="12"/>
  <c r="AB164" i="12"/>
  <c r="AB165" i="12"/>
  <c r="AB166" i="12"/>
  <c r="AB167" i="12"/>
  <c r="AB168" i="12"/>
  <c r="AB169" i="12"/>
  <c r="AB170" i="12"/>
  <c r="AB171" i="12"/>
  <c r="AB172" i="12"/>
  <c r="AB173" i="12"/>
  <c r="AB174" i="12"/>
  <c r="AB175" i="12"/>
  <c r="AB176" i="12"/>
  <c r="AB177" i="12"/>
  <c r="AB178" i="12"/>
  <c r="AB179" i="12"/>
  <c r="AB180" i="12"/>
  <c r="AB181" i="12"/>
  <c r="AB182" i="12"/>
  <c r="AB183" i="12"/>
  <c r="AB184" i="12"/>
  <c r="AB185" i="12"/>
  <c r="AB186" i="12"/>
  <c r="AB187" i="12"/>
  <c r="AB188" i="12"/>
  <c r="AB189" i="12"/>
  <c r="AB190" i="12"/>
  <c r="AB191" i="12"/>
  <c r="AA75" i="12"/>
  <c r="AA76" i="12"/>
  <c r="AA77" i="12"/>
  <c r="AA78" i="12"/>
  <c r="AA79" i="12"/>
  <c r="AA80" i="12"/>
  <c r="AA81" i="12"/>
  <c r="AA82" i="12"/>
  <c r="AA83" i="12"/>
  <c r="AA84" i="12"/>
  <c r="AA85" i="12"/>
  <c r="AA86" i="12"/>
  <c r="AA87" i="12"/>
  <c r="AA88" i="12"/>
  <c r="AA89" i="12"/>
  <c r="AA90" i="12"/>
  <c r="AA91" i="12"/>
  <c r="AA92" i="12"/>
  <c r="AA93" i="12"/>
  <c r="AA94" i="12"/>
  <c r="AA95" i="12"/>
  <c r="AA96" i="12"/>
  <c r="AA97" i="12"/>
  <c r="AA98" i="12"/>
  <c r="AA99" i="12"/>
  <c r="AA100" i="12"/>
  <c r="AA101" i="12"/>
  <c r="AA102" i="12"/>
  <c r="AA103" i="12"/>
  <c r="AA104" i="12"/>
  <c r="AA105" i="12"/>
  <c r="AA106" i="12"/>
  <c r="AA107" i="12"/>
  <c r="AA108" i="12"/>
  <c r="AA109" i="12"/>
  <c r="AA110" i="12"/>
  <c r="AA111" i="12"/>
  <c r="AA112" i="12"/>
  <c r="AA113" i="12"/>
  <c r="AA114" i="12"/>
  <c r="AA115" i="12"/>
  <c r="AA116" i="12"/>
  <c r="AA117" i="12"/>
  <c r="AA118" i="12"/>
  <c r="AA119" i="12"/>
  <c r="AA120" i="12"/>
  <c r="AA121" i="12"/>
  <c r="AA122" i="12"/>
  <c r="AA123" i="12"/>
  <c r="AA124" i="12"/>
  <c r="AA125" i="12"/>
  <c r="AA126" i="12"/>
  <c r="AA127" i="12"/>
  <c r="AA128" i="12"/>
  <c r="AA129" i="12"/>
  <c r="AA130" i="12"/>
  <c r="AA131" i="12"/>
  <c r="AA132" i="12"/>
  <c r="AA133" i="12"/>
  <c r="AA134" i="12"/>
  <c r="AA135" i="12"/>
  <c r="AA136" i="12"/>
  <c r="AA137" i="12"/>
  <c r="AA138" i="12"/>
  <c r="AA139" i="12"/>
  <c r="AA140" i="12"/>
  <c r="AA141" i="12"/>
  <c r="AA142" i="12"/>
  <c r="AA143" i="12"/>
  <c r="AA144" i="12"/>
  <c r="AA145" i="12"/>
  <c r="AA146" i="12"/>
  <c r="AA147" i="12"/>
  <c r="AA148" i="12"/>
  <c r="AA149" i="12"/>
  <c r="AA150" i="12"/>
  <c r="AA151" i="12"/>
  <c r="AA152" i="12"/>
  <c r="AA153" i="12"/>
  <c r="AA154" i="12"/>
  <c r="AA155" i="12"/>
  <c r="AA156" i="12"/>
  <c r="AA157" i="12"/>
  <c r="AA158" i="12"/>
  <c r="AA159" i="12"/>
  <c r="AA160" i="12"/>
  <c r="AA161" i="12"/>
  <c r="AA162" i="12"/>
  <c r="AA163" i="12"/>
  <c r="AA164" i="12"/>
  <c r="AA165" i="12"/>
  <c r="AA166" i="12"/>
  <c r="AA167" i="12"/>
  <c r="AA168" i="12"/>
  <c r="AA169" i="12"/>
  <c r="AA170" i="12"/>
  <c r="AA171" i="12"/>
  <c r="AA172" i="12"/>
  <c r="AA173" i="12"/>
  <c r="AA174" i="12"/>
  <c r="AA175" i="12"/>
  <c r="AA176" i="12"/>
  <c r="AA177" i="12"/>
  <c r="AA178" i="12"/>
  <c r="AA179" i="12"/>
  <c r="AA180" i="12"/>
  <c r="AA181" i="12"/>
  <c r="AA182" i="12"/>
  <c r="AA183" i="12"/>
  <c r="AA184" i="12"/>
  <c r="AA185" i="12"/>
  <c r="AA186" i="12"/>
  <c r="AA187" i="12"/>
  <c r="AA188" i="12"/>
  <c r="AA189" i="12"/>
  <c r="AA190" i="12"/>
  <c r="AA191" i="12"/>
  <c r="C12" i="53" l="1"/>
  <c r="C13" i="53" s="1"/>
  <c r="C14" i="53" s="1"/>
  <c r="C47" i="53"/>
  <c r="C60" i="53" s="1"/>
  <c r="E77" i="39"/>
  <c r="F77" i="39" s="1" a="1"/>
  <c r="F77" i="39" s="1"/>
  <c r="D82" i="39" s="1" a="1"/>
  <c r="D82" i="39" s="1"/>
  <c r="C9" i="52"/>
  <c r="C10" i="52" s="1"/>
  <c r="C11" i="52" s="1"/>
  <c r="C66" i="52"/>
  <c r="C22" i="27"/>
  <c r="D51" i="53"/>
  <c r="G51" i="53" s="1" a="1"/>
  <c r="G51" i="53" s="1"/>
  <c r="H51" i="53" s="1" a="1"/>
  <c r="H51" i="53" s="1"/>
  <c r="E60" i="53" s="1"/>
  <c r="F60" i="53" s="1" a="1"/>
  <c r="F60" i="53" s="1"/>
  <c r="D65" i="53" s="1" a="1"/>
  <c r="D65" i="53" s="1"/>
  <c r="E29" i="56"/>
  <c r="E9" i="56"/>
  <c r="E10" i="56" s="1"/>
  <c r="E11" i="56" s="1"/>
  <c r="E12" i="56" s="1"/>
  <c r="E13" i="56" s="1"/>
  <c r="E14" i="56" s="1"/>
  <c r="E15" i="56" s="1"/>
  <c r="E16" i="56" s="1"/>
  <c r="E17" i="56" s="1"/>
  <c r="E18" i="56" s="1"/>
  <c r="E19" i="56" s="1"/>
  <c r="E20" i="56" s="1"/>
  <c r="E21" i="56" s="1"/>
  <c r="E22" i="56" s="1"/>
  <c r="E23" i="56" s="1"/>
  <c r="E24" i="56" s="1"/>
  <c r="C64" i="39"/>
  <c r="E15" i="39"/>
  <c r="E16" i="39"/>
  <c r="E17" i="39"/>
  <c r="C15" i="53" l="1"/>
  <c r="C16" i="53" s="1"/>
  <c r="C17" i="53" s="1"/>
  <c r="C48" i="53"/>
  <c r="C12" i="52"/>
  <c r="C13" i="52" s="1"/>
  <c r="C14" i="52" s="1"/>
  <c r="C15" i="52" s="1"/>
  <c r="C16" i="52" s="1"/>
  <c r="C68" i="52"/>
  <c r="E30" i="56"/>
  <c r="E31" i="56" s="1"/>
  <c r="E32" i="56" s="1"/>
  <c r="E33" i="56" s="1"/>
  <c r="E34" i="56" s="1"/>
  <c r="E35" i="56" s="1"/>
  <c r="E36" i="56" s="1"/>
  <c r="E37" i="56" s="1"/>
  <c r="E38" i="56" s="1"/>
  <c r="E39" i="56" s="1"/>
  <c r="E40" i="56" s="1"/>
  <c r="E41" i="56" s="1"/>
  <c r="E42" i="56" s="1"/>
  <c r="E43" i="56" s="1"/>
  <c r="E44" i="56" s="1"/>
  <c r="D76" i="56"/>
  <c r="C23" i="27"/>
  <c r="C24" i="27" s="1"/>
  <c r="C25" i="27" s="1"/>
  <c r="C26" i="27" s="1"/>
  <c r="C27" i="27" s="1"/>
  <c r="C28" i="27" s="1"/>
  <c r="C29" i="27" s="1"/>
  <c r="C30" i="27" s="1"/>
  <c r="C31" i="27" s="1"/>
  <c r="C32" i="27" s="1"/>
  <c r="C33" i="27" s="1"/>
  <c r="C34" i="27" s="1"/>
  <c r="C35" i="27" s="1"/>
  <c r="C36" i="27" s="1"/>
  <c r="C37" i="27" s="1"/>
  <c r="C38" i="27" s="1"/>
  <c r="C39" i="27" s="1"/>
  <c r="C40" i="27" s="1"/>
  <c r="C41" i="27" s="1"/>
  <c r="C42" i="27" s="1"/>
  <c r="C43" i="27" s="1"/>
  <c r="C44" i="27" s="1"/>
  <c r="C45" i="27" s="1"/>
  <c r="C46" i="27" s="1"/>
  <c r="C47" i="27" s="1"/>
  <c r="C48" i="27" s="1"/>
  <c r="C67" i="39"/>
  <c r="E18" i="39"/>
  <c r="E20" i="39"/>
  <c r="E19" i="39"/>
  <c r="A4" i="33"/>
  <c r="B4" i="33"/>
  <c r="D4" i="33"/>
  <c r="C4" i="33"/>
  <c r="C3" i="33"/>
  <c r="B3" i="33"/>
  <c r="D3" i="33"/>
  <c r="A3" i="33"/>
  <c r="C18" i="53" l="1"/>
  <c r="C19" i="53" s="1"/>
  <c r="C20" i="53" s="1"/>
  <c r="C49" i="53"/>
  <c r="G76" i="56" a="1"/>
  <c r="G76" i="56" s="1"/>
  <c r="H76" i="56" s="1" a="1"/>
  <c r="H76" i="56" s="1"/>
  <c r="E84" i="56" s="1"/>
  <c r="F84" i="56" s="1" a="1"/>
  <c r="F84" i="56" s="1"/>
  <c r="D89" i="56" s="1" a="1"/>
  <c r="D89" i="56" s="1"/>
  <c r="E3" i="33" a="1"/>
  <c r="O21" i="17" l="1"/>
  <c r="O22" i="17"/>
  <c r="O23" i="17"/>
  <c r="O24" i="17"/>
  <c r="O13" i="17"/>
  <c r="O25" i="17"/>
  <c r="O27" i="17"/>
  <c r="O12" i="17"/>
  <c r="O15" i="17"/>
  <c r="O26" i="17"/>
  <c r="O10" i="17"/>
  <c r="O11" i="17"/>
  <c r="O14" i="17"/>
  <c r="O16" i="17"/>
  <c r="O17" i="17"/>
  <c r="O18" i="17"/>
  <c r="O19" i="17"/>
  <c r="O20" i="17"/>
  <c r="Q17" i="12"/>
  <c r="N17" i="12"/>
  <c r="Q18" i="12"/>
  <c r="N18" i="12"/>
  <c r="Q19" i="12"/>
  <c r="N19" i="12"/>
  <c r="Q10" i="12"/>
  <c r="Q11" i="12"/>
  <c r="N15" i="12"/>
  <c r="Q16" i="12"/>
  <c r="Q20" i="12"/>
  <c r="N20" i="12"/>
  <c r="Q24" i="12"/>
  <c r="Q25" i="12"/>
  <c r="Q26" i="12"/>
  <c r="Q28" i="12"/>
  <c r="N10" i="12"/>
  <c r="N12" i="12"/>
  <c r="Q21" i="12"/>
  <c r="N21" i="12"/>
  <c r="Q22" i="12"/>
  <c r="N22" i="12"/>
  <c r="N23" i="12"/>
  <c r="N24" i="12"/>
  <c r="N26" i="12"/>
  <c r="Q27" i="12"/>
  <c r="N29" i="12"/>
  <c r="Q29" i="12"/>
  <c r="Q15" i="12"/>
  <c r="N16" i="12"/>
  <c r="Q23" i="12"/>
  <c r="N25" i="12"/>
  <c r="N27" i="12"/>
  <c r="N28" i="12"/>
  <c r="N11" i="12"/>
  <c r="N13" i="12"/>
  <c r="Q12" i="12"/>
  <c r="Q13" i="12"/>
  <c r="N14" i="12"/>
  <c r="Q14" i="12"/>
  <c r="C21" i="53"/>
  <c r="C22" i="53" s="1"/>
  <c r="C23" i="53" s="1"/>
  <c r="C50" i="53"/>
  <c r="O7" i="17"/>
  <c r="O8" i="17"/>
  <c r="O9" i="17"/>
  <c r="N9" i="12"/>
  <c r="Q9" i="12"/>
  <c r="O6" i="17"/>
  <c r="O5" i="17"/>
  <c r="Q5" i="12"/>
  <c r="Q6" i="12"/>
  <c r="Q7" i="12"/>
  <c r="Q8" i="12"/>
  <c r="N5" i="12"/>
  <c r="N6" i="12"/>
  <c r="N7" i="12"/>
  <c r="N8" i="12"/>
  <c r="I11" i="37"/>
  <c r="I21" i="37"/>
  <c r="I18" i="37"/>
  <c r="I12" i="37"/>
  <c r="I22" i="37"/>
  <c r="I13" i="37"/>
  <c r="I23" i="37"/>
  <c r="I14" i="37"/>
  <c r="I24" i="37"/>
  <c r="I10" i="37"/>
  <c r="I15" i="37"/>
  <c r="I25" i="37"/>
  <c r="I20" i="37"/>
  <c r="I16" i="37"/>
  <c r="I26" i="37"/>
  <c r="I27" i="37"/>
  <c r="I17" i="37"/>
  <c r="I19" i="37"/>
  <c r="J6" i="9"/>
  <c r="J5" i="9"/>
  <c r="J7" i="9"/>
  <c r="J8" i="9"/>
  <c r="J9" i="9"/>
  <c r="I9" i="37"/>
  <c r="E3" i="33"/>
  <c r="I6" i="37"/>
  <c r="I7" i="37"/>
  <c r="I5" i="37"/>
  <c r="I8" i="37"/>
  <c r="T62" i="12" l="1" a="1"/>
  <c r="T62" i="12" s="1"/>
  <c r="T41" i="12" a="1"/>
  <c r="T41" i="12" s="1"/>
  <c r="T65" i="12" a="1"/>
  <c r="T65" i="12" s="1"/>
  <c r="T33" i="12" a="1"/>
  <c r="T33" i="12" s="1"/>
  <c r="T42" i="12" a="1"/>
  <c r="T42" i="12" s="1"/>
  <c r="T44" i="12" a="1"/>
  <c r="T44" i="12" s="1"/>
  <c r="T57" i="12" a="1"/>
  <c r="T57" i="12" s="1"/>
  <c r="T53" i="12" a="1"/>
  <c r="T53" i="12" s="1"/>
  <c r="T64" i="12" a="1"/>
  <c r="T64" i="12" s="1"/>
  <c r="T30" i="12" a="1"/>
  <c r="T30" i="12" s="1"/>
  <c r="T70" i="12" a="1"/>
  <c r="T70" i="12" s="1"/>
  <c r="T50" i="12" a="1"/>
  <c r="T50" i="12" s="1"/>
  <c r="T49" i="12" a="1"/>
  <c r="T49" i="12" s="1"/>
  <c r="T52" i="12" a="1"/>
  <c r="T52" i="12" s="1"/>
  <c r="T61" i="12" a="1"/>
  <c r="T61" i="12" s="1"/>
  <c r="T51" i="12" a="1"/>
  <c r="T51" i="12" s="1"/>
  <c r="T58" i="12" a="1"/>
  <c r="T58" i="12" s="1"/>
  <c r="T55" i="12" a="1"/>
  <c r="T55" i="12" s="1"/>
  <c r="T67" i="12" a="1"/>
  <c r="T67" i="12" s="1"/>
  <c r="T31" i="12" a="1"/>
  <c r="T31" i="12" s="1"/>
  <c r="T45" i="12" a="1"/>
  <c r="T45" i="12" s="1"/>
  <c r="T40" i="12" a="1"/>
  <c r="T40" i="12" s="1"/>
  <c r="T68" i="12" a="1"/>
  <c r="T68" i="12" s="1"/>
  <c r="T69" i="12" a="1"/>
  <c r="T69" i="12" s="1"/>
  <c r="T66" i="12" a="1"/>
  <c r="T66" i="12" s="1"/>
  <c r="T34" i="12" a="1"/>
  <c r="T34" i="12" s="1"/>
  <c r="T38" i="12" a="1"/>
  <c r="T38" i="12" s="1"/>
  <c r="T59" i="12" a="1"/>
  <c r="T59" i="12" s="1"/>
  <c r="T39" i="12" a="1"/>
  <c r="T39" i="12" s="1"/>
  <c r="T43" i="12" a="1"/>
  <c r="T43" i="12" s="1"/>
  <c r="T35" i="12" a="1"/>
  <c r="T35" i="12" s="1"/>
  <c r="T47" i="12" a="1"/>
  <c r="T47" i="12" s="1"/>
  <c r="T56" i="12" a="1"/>
  <c r="T56" i="12" s="1"/>
  <c r="T46" i="12" a="1"/>
  <c r="T46" i="12" s="1"/>
  <c r="T60" i="12" a="1"/>
  <c r="T60" i="12" s="1"/>
  <c r="T36" i="12" a="1"/>
  <c r="T36" i="12" s="1"/>
  <c r="T63" i="12" a="1"/>
  <c r="T63" i="12" s="1"/>
  <c r="T37" i="12" a="1"/>
  <c r="T37" i="12" s="1"/>
  <c r="T54" i="12" a="1"/>
  <c r="T54" i="12" s="1"/>
  <c r="T32" i="12" a="1"/>
  <c r="T32" i="12" s="1"/>
  <c r="T48" i="12" a="1"/>
  <c r="T48" i="12" s="1"/>
  <c r="W8" i="12"/>
  <c r="X8" i="12"/>
  <c r="W15" i="12"/>
  <c r="X15" i="12"/>
  <c r="X28" i="12"/>
  <c r="W28" i="12"/>
  <c r="W26" i="12"/>
  <c r="X26" i="12"/>
  <c r="X25" i="12"/>
  <c r="W25" i="12"/>
  <c r="X12" i="12"/>
  <c r="W12" i="12"/>
  <c r="W17" i="12"/>
  <c r="X17" i="12"/>
  <c r="W14" i="12"/>
  <c r="X14" i="12"/>
  <c r="W19" i="12"/>
  <c r="X19" i="12"/>
  <c r="W29" i="12"/>
  <c r="X29" i="12"/>
  <c r="X18" i="12"/>
  <c r="W18" i="12"/>
  <c r="X13" i="12"/>
  <c r="W13" i="12"/>
  <c r="W27" i="12"/>
  <c r="X27" i="12"/>
  <c r="X24" i="12"/>
  <c r="W24" i="12"/>
  <c r="W9" i="12"/>
  <c r="X9" i="12"/>
  <c r="W20" i="12"/>
  <c r="X20" i="12"/>
  <c r="X16" i="12"/>
  <c r="W16" i="12"/>
  <c r="W22" i="12"/>
  <c r="X22" i="12"/>
  <c r="X11" i="12"/>
  <c r="W11" i="12"/>
  <c r="W23" i="12"/>
  <c r="X23" i="12"/>
  <c r="W21" i="12"/>
  <c r="X21" i="12"/>
  <c r="W10" i="12"/>
  <c r="X10" i="12"/>
  <c r="L9" i="9"/>
  <c r="M9" i="9"/>
  <c r="K9" i="9"/>
  <c r="M8" i="9"/>
  <c r="K8" i="9"/>
  <c r="L8" i="9"/>
  <c r="M7" i="9"/>
  <c r="L7" i="9"/>
  <c r="K7" i="9"/>
  <c r="M6" i="9"/>
  <c r="K6" i="9"/>
  <c r="L6" i="9"/>
  <c r="K6" i="37"/>
  <c r="J6" i="37"/>
  <c r="W5" i="12"/>
  <c r="X5" i="12"/>
  <c r="J5" i="37"/>
  <c r="K5" i="37"/>
  <c r="L5" i="9"/>
  <c r="M5" i="9" s="1"/>
  <c r="K5" i="9"/>
  <c r="J7" i="37"/>
  <c r="K7" i="37"/>
  <c r="X7" i="12"/>
  <c r="W7" i="12"/>
  <c r="X6" i="12"/>
  <c r="W6" i="12"/>
  <c r="R22" i="12"/>
  <c r="S22" i="12" s="1"/>
  <c r="R17" i="12"/>
  <c r="S17" i="12" s="1"/>
  <c r="P20" i="17"/>
  <c r="P19" i="17"/>
  <c r="R13" i="12"/>
  <c r="S13" i="12" s="1"/>
  <c r="P18" i="17"/>
  <c r="R12" i="12"/>
  <c r="S12" i="12" s="1"/>
  <c r="P17" i="17"/>
  <c r="R28" i="12"/>
  <c r="S28" i="12" s="1"/>
  <c r="P16" i="17"/>
  <c r="R26" i="12"/>
  <c r="S26" i="12" s="1"/>
  <c r="P14" i="17"/>
  <c r="R25" i="12"/>
  <c r="S25" i="12" s="1"/>
  <c r="P11" i="17"/>
  <c r="R8" i="12"/>
  <c r="S8" i="12" s="1"/>
  <c r="R24" i="12"/>
  <c r="S24" i="12" s="1"/>
  <c r="P10" i="17"/>
  <c r="R6" i="12"/>
  <c r="T6" i="12" s="1" a="1"/>
  <c r="T6" i="12" s="1"/>
  <c r="R14" i="12"/>
  <c r="S14" i="12" s="1"/>
  <c r="R21" i="12"/>
  <c r="S21" i="12" s="1"/>
  <c r="R7" i="12"/>
  <c r="S7" i="12" s="1"/>
  <c r="P26" i="17"/>
  <c r="R20" i="12"/>
  <c r="S20" i="12" s="1"/>
  <c r="P15" i="17"/>
  <c r="R23" i="12"/>
  <c r="S23" i="12" s="1"/>
  <c r="R5" i="12"/>
  <c r="T5" i="12" s="1" a="1"/>
  <c r="T5" i="12" s="1"/>
  <c r="R16" i="12"/>
  <c r="S16" i="12" s="1"/>
  <c r="P12" i="17"/>
  <c r="P5" i="17"/>
  <c r="R15" i="12"/>
  <c r="S15" i="12" s="1"/>
  <c r="P27" i="17"/>
  <c r="R29" i="12"/>
  <c r="S29" i="12" s="1"/>
  <c r="P25" i="17"/>
  <c r="R11" i="12"/>
  <c r="S11" i="12" s="1"/>
  <c r="R9" i="12"/>
  <c r="S9" i="12" s="1"/>
  <c r="R10" i="12"/>
  <c r="S10" i="12" s="1"/>
  <c r="P13" i="17"/>
  <c r="P24" i="17"/>
  <c r="P6" i="17"/>
  <c r="R27" i="12"/>
  <c r="S27" i="12" s="1"/>
  <c r="P22" i="17"/>
  <c r="P9" i="17"/>
  <c r="R19" i="12"/>
  <c r="S19" i="12" s="1"/>
  <c r="P23" i="17"/>
  <c r="P8" i="17"/>
  <c r="P7" i="17"/>
  <c r="R18" i="12"/>
  <c r="S18" i="12" s="1"/>
  <c r="P21" i="17"/>
  <c r="L25" i="37"/>
  <c r="L8" i="37"/>
  <c r="L20" i="37"/>
  <c r="L5" i="37"/>
  <c r="L23" i="37"/>
  <c r="L26" i="37"/>
  <c r="L7" i="37"/>
  <c r="L16" i="37"/>
  <c r="L10" i="37"/>
  <c r="L21" i="37"/>
  <c r="L22" i="37"/>
  <c r="L27" i="37"/>
  <c r="L12" i="37"/>
  <c r="L19" i="37"/>
  <c r="L6" i="37"/>
  <c r="L11" i="37"/>
  <c r="L14" i="37"/>
  <c r="L9" i="37"/>
  <c r="L15" i="37"/>
  <c r="L18" i="37"/>
  <c r="L13" i="37"/>
  <c r="L17" i="37"/>
  <c r="L24" i="37"/>
  <c r="C24" i="53"/>
  <c r="C25" i="53" s="1"/>
  <c r="C26" i="53" s="1"/>
  <c r="C51" i="53"/>
  <c r="S6" i="12" l="1"/>
  <c r="V6" i="12" s="1"/>
  <c r="T13" i="12" a="1"/>
  <c r="T13" i="12" s="1"/>
  <c r="T17" i="12" a="1"/>
  <c r="T17" i="12" s="1"/>
  <c r="T26" i="12" a="1"/>
  <c r="T26" i="12" s="1"/>
  <c r="T10" i="12" a="1"/>
  <c r="T10" i="12" s="1"/>
  <c r="T8" i="12" a="1"/>
  <c r="T8" i="12" s="1"/>
  <c r="T7" i="12" a="1"/>
  <c r="T7" i="12" s="1"/>
  <c r="T22" i="12" a="1"/>
  <c r="T22" i="12" s="1"/>
  <c r="V7" i="12"/>
  <c r="U7" i="12"/>
  <c r="V12" i="12"/>
  <c r="U12" i="12"/>
  <c r="U9" i="12"/>
  <c r="V9" i="12"/>
  <c r="U11" i="12"/>
  <c r="V11" i="12"/>
  <c r="U17" i="12"/>
  <c r="V17" i="12"/>
  <c r="S5" i="12"/>
  <c r="T18" i="12" a="1"/>
  <c r="T18" i="12" s="1"/>
  <c r="T11" i="12" a="1"/>
  <c r="T11" i="12" s="1"/>
  <c r="T15" i="12" a="1"/>
  <c r="T15" i="12" s="1"/>
  <c r="V23" i="12"/>
  <c r="U23" i="12"/>
  <c r="V28" i="12"/>
  <c r="U28" i="12"/>
  <c r="V22" i="12"/>
  <c r="U22" i="12"/>
  <c r="T23" i="12" a="1"/>
  <c r="T23" i="12" s="1"/>
  <c r="T19" i="12" a="1"/>
  <c r="T19" i="12" s="1"/>
  <c r="T9" i="12" a="1"/>
  <c r="T9" i="12" s="1"/>
  <c r="V29" i="12"/>
  <c r="U29" i="12"/>
  <c r="U8" i="12"/>
  <c r="V8" i="12"/>
  <c r="U6" i="12"/>
  <c r="T29" i="12" a="1"/>
  <c r="T29" i="12" s="1"/>
  <c r="T14" i="12" a="1"/>
  <c r="T14" i="12" s="1"/>
  <c r="V24" i="12"/>
  <c r="U24" i="12"/>
  <c r="V20" i="12"/>
  <c r="U20" i="12"/>
  <c r="V15" i="12"/>
  <c r="U15" i="12"/>
  <c r="V25" i="12"/>
  <c r="U25" i="12"/>
  <c r="V13" i="12"/>
  <c r="U13" i="12"/>
  <c r="T27" i="12" a="1"/>
  <c r="T27" i="12" s="1"/>
  <c r="T28" i="12" a="1"/>
  <c r="T28" i="12" s="1"/>
  <c r="U27" i="12"/>
  <c r="V27" i="12"/>
  <c r="U10" i="12"/>
  <c r="V10" i="12"/>
  <c r="V21" i="12"/>
  <c r="U21" i="12"/>
  <c r="T21" i="12" a="1"/>
  <c r="T21" i="12" s="1"/>
  <c r="T25" i="12" a="1"/>
  <c r="T25" i="12" s="1"/>
  <c r="V18" i="12"/>
  <c r="U18" i="12"/>
  <c r="T12" i="12" a="1"/>
  <c r="T12" i="12" s="1"/>
  <c r="U19" i="12"/>
  <c r="V19" i="12"/>
  <c r="U16" i="12"/>
  <c r="V16" i="12"/>
  <c r="V14" i="12"/>
  <c r="U14" i="12"/>
  <c r="V26" i="12"/>
  <c r="U26" i="12"/>
  <c r="T24" i="12" a="1"/>
  <c r="T24" i="12" s="1"/>
  <c r="T16" i="12" a="1"/>
  <c r="T16" i="12" s="1"/>
  <c r="T20" i="12" a="1"/>
  <c r="T20" i="12" s="1"/>
  <c r="N21" i="37"/>
  <c r="M17" i="37"/>
  <c r="N10" i="37"/>
  <c r="N25" i="37"/>
  <c r="M24" i="37"/>
  <c r="M11" i="37"/>
  <c r="N6" i="37"/>
  <c r="N7" i="37"/>
  <c r="M5" i="37"/>
  <c r="N26" i="37"/>
  <c r="N9" i="37"/>
  <c r="M13" i="37"/>
  <c r="N12" i="37"/>
  <c r="N23" i="37"/>
  <c r="M21" i="37"/>
  <c r="M15" i="37"/>
  <c r="N14" i="37"/>
  <c r="M22" i="37"/>
  <c r="N15" i="37"/>
  <c r="N16" i="37"/>
  <c r="M12" i="37"/>
  <c r="M23" i="37"/>
  <c r="N13" i="37"/>
  <c r="M9" i="37"/>
  <c r="M6" i="37"/>
  <c r="M7" i="37"/>
  <c r="N8" i="37"/>
  <c r="N11" i="37"/>
  <c r="N24" i="37"/>
  <c r="M18" i="37"/>
  <c r="M27" i="37"/>
  <c r="M8" i="37"/>
  <c r="N20" i="37"/>
  <c r="M16" i="37"/>
  <c r="M10" i="37"/>
  <c r="N19" i="37"/>
  <c r="N22" i="37"/>
  <c r="N17" i="37"/>
  <c r="N18" i="37"/>
  <c r="M14" i="37"/>
  <c r="M19" i="37"/>
  <c r="N27" i="37"/>
  <c r="M26" i="37"/>
  <c r="M25" i="37"/>
  <c r="M20" i="37"/>
  <c r="C27" i="53"/>
  <c r="C28" i="53" s="1"/>
  <c r="C29" i="53" s="1"/>
  <c r="C52" i="53"/>
  <c r="V5" i="12" l="1"/>
  <c r="U5" i="12"/>
  <c r="N5" i="37"/>
  <c r="C30" i="53"/>
  <c r="C31" i="53" s="1"/>
  <c r="C32" i="53" s="1"/>
  <c r="C33" i="53" s="1"/>
  <c r="C34" i="53" s="1"/>
  <c r="C35" i="53" s="1"/>
  <c r="C36" i="53" s="1"/>
  <c r="C37" i="53" s="1"/>
  <c r="C38" i="53" s="1"/>
  <c r="C39" i="53" s="1"/>
  <c r="C40" i="53" s="1"/>
  <c r="C53" i="53"/>
  <c r="C59" i="39" l="1"/>
  <c r="C75" i="39" s="1"/>
  <c r="C62" i="39" l="1"/>
  <c r="C65" i="39" l="1"/>
  <c r="C68" i="39" l="1"/>
  <c r="C60" i="39" l="1"/>
  <c r="C76" i="39" s="1"/>
  <c r="C63" i="39" l="1"/>
  <c r="C66" i="39" l="1"/>
  <c r="C69" i="39"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Hans</author>
  </authors>
  <commentList>
    <comment ref="Y74" authorId="0" shapeId="0" xr:uid="{0F989201-3DC5-460A-A0BC-CA4E0386CF1B}">
      <text>
        <r>
          <rPr>
            <b/>
            <sz val="9"/>
            <color indexed="81"/>
            <rFont val="Tahoma"/>
            <family val="2"/>
          </rPr>
          <t>Hans:
These columns can be deleted if integrated in TABLE 4's calculation, or perhaps these can be hidden
How to use the lookup function</t>
        </r>
        <r>
          <rPr>
            <sz val="9"/>
            <color indexed="81"/>
            <rFont val="Tahoma"/>
            <family val="2"/>
          </rPr>
          <t xml:space="preserve">
https://www.exceldemy.com/excel-if-one-cell-equals-another-then-return-another-cell/</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Hans.Vansomerengreve</author>
  </authors>
  <commentList>
    <comment ref="U1" authorId="0" shapeId="0" xr:uid="{B1A67905-20E4-41E4-8F9E-8604E78D2BAC}">
      <text>
        <r>
          <rPr>
            <b/>
            <sz val="9"/>
            <color indexed="81"/>
            <rFont val="Tahoma"/>
            <family val="2"/>
          </rPr>
          <t>Hans.Vansomerengreve:</t>
        </r>
        <r>
          <rPr>
            <sz val="9"/>
            <color indexed="81"/>
            <rFont val="Tahoma"/>
            <family val="2"/>
          </rPr>
          <t xml:space="preserve">
SELECT distinct
Scientific_name 
from SourceData.dbo.ASC_species_central
where [Within scope of ASC Farm standard] != 'Not covered by ASC standard'
order by Scientific_name ASC</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<sst xmlns="http://schemas.openxmlformats.org/spreadsheetml/2006/main" count="14363" uniqueCount="1945">
  <si>
    <t>Topic</t>
  </si>
  <si>
    <t>Indicator</t>
  </si>
  <si>
    <t>Link to tab</t>
  </si>
  <si>
    <t>Site and production details</t>
  </si>
  <si>
    <t>1.4.7</t>
  </si>
  <si>
    <t>Site and Production details</t>
  </si>
  <si>
    <t>Escapes - Escape monitoring</t>
  </si>
  <si>
    <t>2.4.7</t>
  </si>
  <si>
    <t>Known escapes</t>
  </si>
  <si>
    <t>Benthic impacts - Cage culture in marine/brackish waters, Level 1 &amp; 2</t>
  </si>
  <si>
    <t>2.5.6</t>
  </si>
  <si>
    <t>Benthic impacts - MB L1 &amp; L2</t>
  </si>
  <si>
    <t>Benthic impacts - Cage culture in marine/brackish waters, Level 3</t>
  </si>
  <si>
    <t>Benthic impacts - MB L3</t>
  </si>
  <si>
    <t>Benthic impacts - Suspended marine molluscs systems, Level 1 &amp; 2</t>
  </si>
  <si>
    <t>Benthic impacts - M L1 &amp; L2</t>
  </si>
  <si>
    <t>Benthic impacts - Suspended marine molluscs systems, Level 3</t>
  </si>
  <si>
    <t>Benthic impacts - M L3</t>
  </si>
  <si>
    <t>Benthic impacts - Cage culture in freshwater lakes/reservoirs, Level 1 &amp; 2</t>
  </si>
  <si>
    <t>Benthic impacts - L&amp;R L1 &amp; L2</t>
  </si>
  <si>
    <t>Benthic impacts - Cage culture in freshwater lakes/reservoirs, Level 3</t>
  </si>
  <si>
    <t>Benthic impacts - L&amp;R L3</t>
  </si>
  <si>
    <t>2.12.6</t>
  </si>
  <si>
    <t>Feed</t>
  </si>
  <si>
    <t>4.5.8</t>
  </si>
  <si>
    <t>Sea lice reporting</t>
  </si>
  <si>
    <t>Sea lice - Parasiticide load</t>
  </si>
  <si>
    <t>4.5.18</t>
  </si>
  <si>
    <t>Veterinary therapeutants</t>
  </si>
  <si>
    <t>Mortality - Fish</t>
  </si>
  <si>
    <t>4.1.1.13</t>
  </si>
  <si>
    <t>Mortality</t>
  </si>
  <si>
    <t>Mortality - Cleaner fish</t>
  </si>
  <si>
    <t>4.1.1.28</t>
  </si>
  <si>
    <t>Mortality - Crustaceans</t>
  </si>
  <si>
    <t>4.2.1.12</t>
  </si>
  <si>
    <t>Mortality - Bivalves and abalone</t>
  </si>
  <si>
    <t>4.3.9</t>
  </si>
  <si>
    <t>4.4.20</t>
  </si>
  <si>
    <t xml:space="preserve">FURTHER INFORMATION AND QUESTIONS
All of the above information can be found in ASC's Data submission procedure. For questions, please contact data@asc-aqua.org
</t>
  </si>
  <si>
    <t>USEFUL LINKS</t>
  </si>
  <si>
    <t>MyASC - Data submission portal</t>
  </si>
  <si>
    <t>TEMPLATE VERSION</t>
  </si>
  <si>
    <t>TABLE 1. Site and production details</t>
  </si>
  <si>
    <t>Site name</t>
  </si>
  <si>
    <t>ASC site ID</t>
  </si>
  <si>
    <t>Species in production (Latin name) (select)</t>
  </si>
  <si>
    <t>Cycle ID</t>
  </si>
  <si>
    <t>Production cycle start 
(dd-mm-yyyy)</t>
  </si>
  <si>
    <t>Production cycle end 
(dd-mm-yyyy)</t>
  </si>
  <si>
    <t>ASC certified stocked volume (tonnes)</t>
  </si>
  <si>
    <t>ASC certified harvested production volume (tonnes)</t>
  </si>
  <si>
    <t>Stocking count 
(# animals)</t>
  </si>
  <si>
    <t>Harvest count 
(# animals)</t>
  </si>
  <si>
    <t>Non-ASC certified harvested production volume (tonnes)</t>
  </si>
  <si>
    <t>ASC certified net production volume (tonnes)</t>
  </si>
  <si>
    <t>Notes</t>
  </si>
  <si>
    <t>Acanthocardia aculeata</t>
  </si>
  <si>
    <t>TABLE 1. Known escapes reporting</t>
  </si>
  <si>
    <t>2.1</t>
  </si>
  <si>
    <t>2.2</t>
  </si>
  <si>
    <t>2.3</t>
  </si>
  <si>
    <t>2.4</t>
  </si>
  <si>
    <t>2.5</t>
  </si>
  <si>
    <t>2.7</t>
  </si>
  <si>
    <t>2.9</t>
  </si>
  <si>
    <t>2.12</t>
  </si>
  <si>
    <t>Species in production (latin name) (select)</t>
  </si>
  <si>
    <t>Cycle ID (select)</t>
  </si>
  <si>
    <t xml:space="preserve">Date of event (dd-mm-yyyy) </t>
  </si>
  <si>
    <t>Number of escapees (# animals)</t>
  </si>
  <si>
    <t>Cause of escape event (select)</t>
  </si>
  <si>
    <t>Species in production</t>
  </si>
  <si>
    <t>Known escapes (# animals)</t>
  </si>
  <si>
    <t>Known escapes (%)</t>
  </si>
  <si>
    <t>Hidden table - Thresholds for abiotic indicators of organic enrichment and corresponding EQS categories</t>
  </si>
  <si>
    <t>Hidden table - Criteria to determine the Benthic status</t>
  </si>
  <si>
    <t>Sampling date (dd-mm-yyyy)</t>
  </si>
  <si>
    <t>Abiotic indicator (select)</t>
  </si>
  <si>
    <t>Direction compared to water flow</t>
  </si>
  <si>
    <t>EQS sampling zone</t>
  </si>
  <si>
    <t>Distance from edge of cages (m)</t>
  </si>
  <si>
    <t>Avg. value - sample 1</t>
  </si>
  <si>
    <t>Avg. value - sample 2</t>
  </si>
  <si>
    <t>Abiotic index ref</t>
  </si>
  <si>
    <t>Equal or larger than</t>
  </si>
  <si>
    <t>smaller than</t>
  </si>
  <si>
    <t>EQS category ref</t>
  </si>
  <si>
    <t xml:space="preserve">Reference zone </t>
  </si>
  <si>
    <t>Farm monitoring zone 1</t>
  </si>
  <si>
    <t>Farm monitoring zone 2</t>
  </si>
  <si>
    <t>Farm monitoring zone 3</t>
  </si>
  <si>
    <t>Benthic status</t>
  </si>
  <si>
    <t>Select</t>
  </si>
  <si>
    <t>Downstream</t>
  </si>
  <si>
    <t>Sampling zone 1</t>
  </si>
  <si>
    <t>0-30</t>
  </si>
  <si>
    <t>Redox potential (EhNHE)</t>
  </si>
  <si>
    <t>High</t>
  </si>
  <si>
    <t>smaller or larger than number not in table 2 but required for logic</t>
  </si>
  <si>
    <t>Poor</t>
  </si>
  <si>
    <t>Bad</t>
  </si>
  <si>
    <t>Unacceptable</t>
  </si>
  <si>
    <t>Sampling zone 2</t>
  </si>
  <si>
    <t>31-100</t>
  </si>
  <si>
    <t>Good</t>
  </si>
  <si>
    <t>Sampling zone 3</t>
  </si>
  <si>
    <t>101-150</t>
  </si>
  <si>
    <t>Moderate</t>
  </si>
  <si>
    <t>Reference zone</t>
  </si>
  <si>
    <t>500+</t>
  </si>
  <si>
    <t>equal or larger than number not in table 2 but required for logic</t>
  </si>
  <si>
    <t>High/Good</t>
  </si>
  <si>
    <t>Total Free Sulphide (S2-UV μM)</t>
  </si>
  <si>
    <t>Total Free Sulphide (S2-ISE μM)</t>
  </si>
  <si>
    <t>Abiotic indicator</t>
  </si>
  <si>
    <t>Downstream + 90°</t>
  </si>
  <si>
    <t>Downstream +180°</t>
  </si>
  <si>
    <t>Hidden table - Thresholds for zone EQS score by sampling zone</t>
  </si>
  <si>
    <t>Larger than</t>
  </si>
  <si>
    <t>Equal or smaller than</t>
  </si>
  <si>
    <t>Zone EQS score per indicator</t>
  </si>
  <si>
    <t>Downstream +270°</t>
  </si>
  <si>
    <t>larger than is made up for the sake of logic</t>
  </si>
  <si>
    <t>Avg. indicator value</t>
  </si>
  <si>
    <t>EQS category</t>
  </si>
  <si>
    <t>Indicator EQS score</t>
  </si>
  <si>
    <t>TABLE 4. Level 1 and 2- Abiotic impact - EQS score and EQS category by sampling zone</t>
  </si>
  <si>
    <t xml:space="preserve">Site name </t>
  </si>
  <si>
    <t>Zone EQS score</t>
  </si>
  <si>
    <t>Zone EQS category</t>
  </si>
  <si>
    <t>TABLE 5. Level 1 and 2- Abiotic impact - Benthic status</t>
  </si>
  <si>
    <t>Benthic status - 
Level 1 and 2</t>
  </si>
  <si>
    <t>Acceptable</t>
  </si>
  <si>
    <t>Hidden table - Thresholds for biotic indicators of organic enrichment and corresponding EQS categories</t>
  </si>
  <si>
    <t>Sampling date 
(dd-mm-yyyy)</t>
  </si>
  <si>
    <t>Biotic indicator (select)</t>
  </si>
  <si>
    <t>Biotic index ref</t>
  </si>
  <si>
    <r>
      <t>Equal or larger than (x≥</t>
    </r>
    <r>
      <rPr>
        <sz val="7.7"/>
        <color theme="1"/>
        <rFont val="Montserrat"/>
      </rPr>
      <t>)</t>
    </r>
  </si>
  <si>
    <t>smaller than (x&lt;)</t>
  </si>
  <si>
    <t>Richness (S%; % of max S)</t>
  </si>
  <si>
    <t>smaller than number not in table 2 but required for logic</t>
  </si>
  <si>
    <t>Opportunistic Taxa (GrV %)</t>
  </si>
  <si>
    <t>Polychaete/Amphipod Ratio (BPOFA)</t>
  </si>
  <si>
    <t>AZTI’s Marine Biotic Index (AMBI)</t>
  </si>
  <si>
    <t>Multivariate AMBI (M-AMBI)</t>
  </si>
  <si>
    <t>Benthic Habitat Quality (BHQ)</t>
  </si>
  <si>
    <t>Simplified Richness (S50)</t>
  </si>
  <si>
    <t>Benthic Quality Index (BQI)</t>
  </si>
  <si>
    <t>Benthic Quality Index (BQI-family)</t>
  </si>
  <si>
    <t>BENTIX</t>
  </si>
  <si>
    <t>Norwegian Quality Index (NQI1)</t>
  </si>
  <si>
    <t>Biotic indicator</t>
  </si>
  <si>
    <t>Norwegian Sensitivity Index (NSI)</t>
  </si>
  <si>
    <t>Indicator Species Index (ISI2012)</t>
  </si>
  <si>
    <t>Enrichment Stage (ES)</t>
  </si>
  <si>
    <t>0 not in appendix, but may be a realistic value</t>
  </si>
  <si>
    <t>TABLE 3. Level 3 - Biotic impact - EQS classification per sampling zone</t>
  </si>
  <si>
    <t>Benthic status - Level 3</t>
  </si>
  <si>
    <t>Distance from site boundary (m)</t>
  </si>
  <si>
    <t>Inside site boundary</t>
  </si>
  <si>
    <t>Outside site boundary</t>
  </si>
  <si>
    <t>20m inside boundary</t>
  </si>
  <si>
    <t>10m inside boundary</t>
  </si>
  <si>
    <t>On site boundary</t>
  </si>
  <si>
    <t>0m on boundary</t>
  </si>
  <si>
    <t>10m outside boundary</t>
  </si>
  <si>
    <t>20m outside boundary</t>
  </si>
  <si>
    <t>Benthic status - Level 1 and 2</t>
  </si>
  <si>
    <t>Benthic status - Tier 3</t>
  </si>
  <si>
    <t xml:space="preserve">TAN (mg/L) </t>
  </si>
  <si>
    <t>pH</t>
  </si>
  <si>
    <t>T (ºC)</t>
  </si>
  <si>
    <t>Poor/Bad</t>
  </si>
  <si>
    <t>TAN threshold is calculated based on EQS sampling zoen and direction specific T and pH, page 46 of  https://www.epa.gov/sites/default/files/2015-08/documents/aquatic-life-ambient-water-quality-criteria-for-ammonia-freshwater-2013.pdf</t>
  </si>
  <si>
    <t>What to do with moderate? Is it even achievable?</t>
  </si>
  <si>
    <t>the lower the better!</t>
  </si>
  <si>
    <t>TAB threshold</t>
  </si>
  <si>
    <t>Column2</t>
  </si>
  <si>
    <t>Column3</t>
  </si>
  <si>
    <t>Column1</t>
  </si>
  <si>
    <t>TAN threshold is calculated based on EQS sampling zone and direction specific T and pH, page 46 of  https://www.epa.gov/sites/default/files/2015-08/documents/aquatic-life-ambient-water-quality-criteria-for-ammonia-freshwater-2013.pdf</t>
  </si>
  <si>
    <t>TAN threshold (mg/L)</t>
  </si>
  <si>
    <t>Not applicable</t>
  </si>
  <si>
    <t>TABLE 4. Level 1 and 2 - Abiotic impact - EQS classification per sampling zone</t>
  </si>
  <si>
    <t>Total Free Sulphide (S2- μM)</t>
  </si>
  <si>
    <t>Average indicator value</t>
  </si>
  <si>
    <t>TABLE 1. Feed name and properties</t>
  </si>
  <si>
    <t>TABLE 3. Species protein content</t>
  </si>
  <si>
    <t>Feed name</t>
  </si>
  <si>
    <t>Product ID</t>
  </si>
  <si>
    <t>Fish meal in feed derived from forage fisheries (%)</t>
  </si>
  <si>
    <t>Fish oil in feed derived from forage fisheries (%)</t>
  </si>
  <si>
    <t>EPA and DHA content of fish oil (%)</t>
  </si>
  <si>
    <t>Fish oil yield per kg fish (%)</t>
  </si>
  <si>
    <t>Fish meal yield per kg fish (%)</t>
  </si>
  <si>
    <t>Protein content (%)</t>
  </si>
  <si>
    <t>GMO ingredients (%)</t>
  </si>
  <si>
    <t>Animal protein content (%)</t>
  </si>
  <si>
    <t>eFCR</t>
  </si>
  <si>
    <t>PRE (%)</t>
  </si>
  <si>
    <t>FFDRm</t>
  </si>
  <si>
    <t>FFDRo</t>
  </si>
  <si>
    <t>EPA and DHA in feed (g/kg feed)</t>
  </si>
  <si>
    <t>EPA and DHA in fish oil (%)</t>
  </si>
  <si>
    <t>Species in production (select)</t>
  </si>
  <si>
    <t>Feed name (select)</t>
  </si>
  <si>
    <t>Feed use (tonnes)</t>
  </si>
  <si>
    <t>Protein fed per feed type (tonnes)</t>
  </si>
  <si>
    <t>total EPA and DHA in feed, per type (g)</t>
  </si>
  <si>
    <t>FO%/yield*feed use</t>
  </si>
  <si>
    <t>FM%/yield*feed use</t>
  </si>
  <si>
    <t>EPA and DHA% * feed use</t>
  </si>
  <si>
    <t>TABLE 1. Sea lice monitoring</t>
  </si>
  <si>
    <t>Date
(dd-mm-yyyy)</t>
  </si>
  <si>
    <t>Week
(ww)</t>
  </si>
  <si>
    <t>Year
(yyyy)</t>
  </si>
  <si>
    <t>Sea lice species
(select)</t>
  </si>
  <si>
    <t>Life stage
(select)</t>
  </si>
  <si>
    <t>Average sea lice count
(#/fish)</t>
  </si>
  <si>
    <t>TABLE 1. Mortality reporting - Cleaner fish</t>
  </si>
  <si>
    <t>Cycle ID
(select)</t>
  </si>
  <si>
    <t xml:space="preserve">Cleaner fish species
(latin name) (select)
</t>
  </si>
  <si>
    <t>Harvest count (# animals)</t>
  </si>
  <si>
    <t>Mortality count
(# animals)</t>
  </si>
  <si>
    <t>Mortality rate
(%)</t>
  </si>
  <si>
    <t>Real percentage mortality
(%)</t>
  </si>
  <si>
    <t>TABLE 1. Mortality reporting</t>
  </si>
  <si>
    <t xml:space="preserve">Still missing any reporting on mass mortality events </t>
  </si>
  <si>
    <t>Mortality cause
(select)</t>
  </si>
  <si>
    <t>Mortality count (# animals)</t>
  </si>
  <si>
    <t>Mortality rate (%)</t>
  </si>
  <si>
    <t>Real percentage mortality (%)</t>
  </si>
  <si>
    <t xml:space="preserve">this table is for salmonids only. </t>
  </si>
  <si>
    <t>TABLE 1. Veterinary therapeutants reporting</t>
  </si>
  <si>
    <t>Start date of treatment
(dd-mm-yyyy)</t>
  </si>
  <si>
    <t>End date of treatment
(dd-mm-yyyy)</t>
  </si>
  <si>
    <t>Type of treatment (select)</t>
  </si>
  <si>
    <t>Reason for use</t>
  </si>
  <si>
    <t>Active component name</t>
  </si>
  <si>
    <t>Product name</t>
  </si>
  <si>
    <t>WHO classification (select)</t>
  </si>
  <si>
    <t>Amount of active component (kg)</t>
  </si>
  <si>
    <t>Antibiotic load (kg/tonne)</t>
  </si>
  <si>
    <t>Antiparasitic load (kg/tonne)</t>
  </si>
  <si>
    <t>Distinct Site name</t>
  </si>
  <si>
    <t>Distinct ASC site ID</t>
  </si>
  <si>
    <t>Distinct Species in production</t>
  </si>
  <si>
    <t>Distinct Species in production (select)</t>
  </si>
  <si>
    <t>Distinct cycleID</t>
  </si>
  <si>
    <t>Distinct Product name</t>
  </si>
  <si>
    <t>With or without shell</t>
  </si>
  <si>
    <t>Mortality cause</t>
  </si>
  <si>
    <t>Reason of escape (select)</t>
  </si>
  <si>
    <t>Type of product</t>
  </si>
  <si>
    <t>WHO classification</t>
  </si>
  <si>
    <t>ASC certified feed? (select)</t>
  </si>
  <si>
    <t>Production system</t>
  </si>
  <si>
    <t>Latin name</t>
  </si>
  <si>
    <t>Sea lice life stage</t>
  </si>
  <si>
    <t>Sea lice species</t>
  </si>
  <si>
    <t>Indicators of organic enrichment</t>
  </si>
  <si>
    <t>Biotic indicators of organic enrichment</t>
  </si>
  <si>
    <t>Cleaner fish english name</t>
  </si>
  <si>
    <t>Cleaner fish latin name</t>
  </si>
  <si>
    <t>Ponds – Earthen</t>
  </si>
  <si>
    <t>Abra alba</t>
  </si>
  <si>
    <t>live weight equivalent</t>
  </si>
  <si>
    <t>Culling (add reason in 'Notes' section)</t>
  </si>
  <si>
    <t>Production unit failure</t>
  </si>
  <si>
    <t>Antibiotic</t>
  </si>
  <si>
    <t>Critically important antimicrobial</t>
  </si>
  <si>
    <t>yes</t>
  </si>
  <si>
    <t>Ponds – Lined</t>
  </si>
  <si>
    <t>Abra prismatica</t>
  </si>
  <si>
    <t>Ovigerous female</t>
  </si>
  <si>
    <r>
      <t>Lepeophtheirus </t>
    </r>
    <r>
      <rPr>
        <b/>
        <sz val="7"/>
        <color rgb="FF5F6368"/>
        <rFont val="Arial"/>
        <family val="2"/>
      </rPr>
      <t>salmonis</t>
    </r>
  </si>
  <si>
    <t>Labrus bergylta</t>
  </si>
  <si>
    <t>Ballan wrasse</t>
  </si>
  <si>
    <t>without shell</t>
  </si>
  <si>
    <t>Environmental conditions </t>
  </si>
  <si>
    <t>Handling error</t>
  </si>
  <si>
    <t>Antiparasitic - Sea lice</t>
  </si>
  <si>
    <t>Highly important antimicrobial</t>
  </si>
  <si>
    <t>no</t>
  </si>
  <si>
    <t>Flow through tanks &amp; raceways</t>
  </si>
  <si>
    <t>Adult/mature female</t>
  </si>
  <si>
    <t>Caligus rogercresseyi</t>
  </si>
  <si>
    <t>Symphodus melops</t>
  </si>
  <si>
    <t>Corkwing wrasse</t>
  </si>
  <si>
    <t>Infectious diseases: Bacterial </t>
  </si>
  <si>
    <t>Vandalism</t>
  </si>
  <si>
    <t>Antiparasitic - Other</t>
  </si>
  <si>
    <t>Important antimicrobial</t>
  </si>
  <si>
    <t>RAS (Recirculating Aquaculture Systems)</t>
  </si>
  <si>
    <t>Acanthocardia echinata</t>
  </si>
  <si>
    <t>Sessile</t>
  </si>
  <si>
    <t>Caligus spp.</t>
  </si>
  <si>
    <t>Ctenolabrus rupestris</t>
  </si>
  <si>
    <t>Goldsinny wrasse</t>
  </si>
  <si>
    <t>Infectious diseases: Viral </t>
  </si>
  <si>
    <t>Accidental (e.g boat driving into cage)</t>
  </si>
  <si>
    <t>Antifungal</t>
  </si>
  <si>
    <t>Not important antimicrobial</t>
  </si>
  <si>
    <t>Cage, including net pen (seawater)</t>
  </si>
  <si>
    <t>Acanthocardia paucicostata</t>
  </si>
  <si>
    <t>Motile</t>
  </si>
  <si>
    <t>Cyclopterus lumpus</t>
  </si>
  <si>
    <t>Lumpfish</t>
  </si>
  <si>
    <t>Infectious diseases: Parasitic </t>
  </si>
  <si>
    <t>Environmental event (e.g. flooding)</t>
  </si>
  <si>
    <t>Antiviral</t>
  </si>
  <si>
    <t>Cage, including net pen (freshwater)</t>
  </si>
  <si>
    <t>Acanthocardia spinosa</t>
  </si>
  <si>
    <t>Infectious diseases: Fungal </t>
  </si>
  <si>
    <t>Other escape cause (free text)</t>
  </si>
  <si>
    <t>Suspended culture</t>
  </si>
  <si>
    <t>Acanthocardia spp</t>
  </si>
  <si>
    <t>Infectious diseases: Amoebic </t>
  </si>
  <si>
    <t>Other sea-based systems (molluscs)</t>
  </si>
  <si>
    <t>Acanthocardia tuberculata</t>
  </si>
  <si>
    <t>Injuries (trauma) </t>
  </si>
  <si>
    <t>Acanthophora spicifera</t>
  </si>
  <si>
    <t>Physiological causes </t>
  </si>
  <si>
    <t>Acesta maui</t>
  </si>
  <si>
    <t>Unknown mortality cause </t>
  </si>
  <si>
    <t>Acesta rathbuni</t>
  </si>
  <si>
    <t>Other mortality cause (free text)</t>
  </si>
  <si>
    <t>Adamussium colbecki</t>
  </si>
  <si>
    <t>Aequipecten felipponei</t>
  </si>
  <si>
    <t>Aequipecten opercularis</t>
  </si>
  <si>
    <t>Aequipecten tehuelchus</t>
  </si>
  <si>
    <t>Ahnfeltia fastigiata</t>
  </si>
  <si>
    <t>Ahnfeltia plicata</t>
  </si>
  <si>
    <t>Alaria esculenta</t>
  </si>
  <si>
    <t>Alaria pylaiei</t>
  </si>
  <si>
    <t>Alectryonella plicatula</t>
  </si>
  <si>
    <t>Algae</t>
  </si>
  <si>
    <t>Alsidium helminthochorton</t>
  </si>
  <si>
    <t>Ameghinomya antiqua</t>
  </si>
  <si>
    <t>Americardia media</t>
  </si>
  <si>
    <t>Amiantis purpurata</t>
  </si>
  <si>
    <t>Amphibolis antarctica</t>
  </si>
  <si>
    <t>Amusium japonicum</t>
  </si>
  <si>
    <t>Amusium papyraceum</t>
  </si>
  <si>
    <t>Amusium pleuronectes</t>
  </si>
  <si>
    <t>Anadara antiquata</t>
  </si>
  <si>
    <t>Anadara corbuloides</t>
  </si>
  <si>
    <t>Anadara ferruginea</t>
  </si>
  <si>
    <t>Anadara gibbosa</t>
  </si>
  <si>
    <t>Anadara grandis</t>
  </si>
  <si>
    <t>Anadara inaequivalvis</t>
  </si>
  <si>
    <t>Anadara mazatlanica</t>
  </si>
  <si>
    <t>Anadara multicostata</t>
  </si>
  <si>
    <t>Anadara nodifera</t>
  </si>
  <si>
    <t>Anadara notabilis</t>
  </si>
  <si>
    <t>Anadara ovalis</t>
  </si>
  <si>
    <t>Anadara reinharti</t>
  </si>
  <si>
    <t>Anadara senegalensis</t>
  </si>
  <si>
    <t>Anadara similis</t>
  </si>
  <si>
    <t>Anadara spp</t>
  </si>
  <si>
    <t>Anadara tuberculosa</t>
  </si>
  <si>
    <t>Angiospermae</t>
  </si>
  <si>
    <t>Annachlamys flabellata</t>
  </si>
  <si>
    <t>Anodonta cygnea</t>
  </si>
  <si>
    <t>Anodontia edentula</t>
  </si>
  <si>
    <t>Anomalocardia brasiliana</t>
  </si>
  <si>
    <t>Anomalocardia squamosa</t>
  </si>
  <si>
    <t>Anomia ephippium</t>
  </si>
  <si>
    <t>Anomia peruviana</t>
  </si>
  <si>
    <t>Anomia spp</t>
  </si>
  <si>
    <t>Apolymetis ephippium</t>
  </si>
  <si>
    <t>Apolymetis papyracea</t>
  </si>
  <si>
    <t>Apolymetis spp</t>
  </si>
  <si>
    <t>Arca avellana</t>
  </si>
  <si>
    <t>Arca imbricata</t>
  </si>
  <si>
    <t>Arca navicularis</t>
  </si>
  <si>
    <t>Arca noae</t>
  </si>
  <si>
    <t>Arca pacifica</t>
  </si>
  <si>
    <t>Arca spp</t>
  </si>
  <si>
    <t>Arca ventricosa</t>
  </si>
  <si>
    <t>Arca zebra</t>
  </si>
  <si>
    <t>Arcopagia crassa</t>
  </si>
  <si>
    <t>Arctica islandica</t>
  </si>
  <si>
    <t>Arcuatula arcuatula</t>
  </si>
  <si>
    <t>Argopecten gibbus</t>
  </si>
  <si>
    <t>Argopecten irradians</t>
  </si>
  <si>
    <t>Argopecten purpuratus</t>
  </si>
  <si>
    <t>Argopecten ventricosus</t>
  </si>
  <si>
    <t>Argyrosomus amoyensis</t>
  </si>
  <si>
    <t>Argyrosomus heinii</t>
  </si>
  <si>
    <t>Argyrosomus hololepidotus</t>
  </si>
  <si>
    <t>Argyrosomus japonicus</t>
  </si>
  <si>
    <t>Argyrosomus regius</t>
  </si>
  <si>
    <t>Argyrosomus spp</t>
  </si>
  <si>
    <t>Argyrosomus thorpei</t>
  </si>
  <si>
    <t>Arthrospira platensis</t>
  </si>
  <si>
    <t>Asaphis spp</t>
  </si>
  <si>
    <t>Asaphis violascens</t>
  </si>
  <si>
    <t>Ascophyllum nodosum</t>
  </si>
  <si>
    <t>Asparagopsis armata</t>
  </si>
  <si>
    <t>Asparagopsis spp</t>
  </si>
  <si>
    <t>Asparagopsis taxiformis</t>
  </si>
  <si>
    <t>Astacus astacus</t>
  </si>
  <si>
    <t>Astacus leptodactylus</t>
  </si>
  <si>
    <t>Astacus pachypus</t>
  </si>
  <si>
    <t>Astarte montagui</t>
  </si>
  <si>
    <t>Astarte sulcata</t>
  </si>
  <si>
    <t>Atactodea striata</t>
  </si>
  <si>
    <t>Atrina chautardi</t>
  </si>
  <si>
    <t>Atrina fragilis</t>
  </si>
  <si>
    <t>Atrina maura</t>
  </si>
  <si>
    <t>Atrina pectinata</t>
  </si>
  <si>
    <t>Atrina spp</t>
  </si>
  <si>
    <t>Atrina tuberculosa</t>
  </si>
  <si>
    <t>Atrina vexillum</t>
  </si>
  <si>
    <t>Aulacomya ater</t>
  </si>
  <si>
    <t>Austriella corrugata</t>
  </si>
  <si>
    <t>Azorinus abbreviatus</t>
  </si>
  <si>
    <t>Azorinus chamasolen</t>
  </si>
  <si>
    <t>Bacillariophyceae</t>
  </si>
  <si>
    <t>Bactronophorus thoracites</t>
  </si>
  <si>
    <t>Ballia callitricha</t>
  </si>
  <si>
    <t>Barbatia barbata</t>
  </si>
  <si>
    <t>Barbatia foliata</t>
  </si>
  <si>
    <t>Barbatia fusca</t>
  </si>
  <si>
    <t>Barbatia lurida</t>
  </si>
  <si>
    <t>Barbatia spp</t>
  </si>
  <si>
    <t>Barnea candida</t>
  </si>
  <si>
    <t>Barnea dilatata</t>
  </si>
  <si>
    <t>Barnea manilensis</t>
  </si>
  <si>
    <t>Barnea subtruncata</t>
  </si>
  <si>
    <t>Barnea truncata</t>
  </si>
  <si>
    <t>Batissa violacea</t>
  </si>
  <si>
    <t>Beguina semiorbiculata</t>
  </si>
  <si>
    <t>Bifurcaria bifurcata</t>
  </si>
  <si>
    <t>Bivalvia</t>
  </si>
  <si>
    <t>Bosemprella incarnata</t>
  </si>
  <si>
    <t>Brachidontes purpuratus</t>
  </si>
  <si>
    <t>Brachidontes rodriguezii</t>
  </si>
  <si>
    <t>Bractechlamys vexillum</t>
  </si>
  <si>
    <t>Calliblepharis jubata</t>
  </si>
  <si>
    <t>Callista chione</t>
  </si>
  <si>
    <t>Callithamnion corymbosum</t>
  </si>
  <si>
    <t>Callophyllis spp</t>
  </si>
  <si>
    <t>Callophyllis variegata</t>
  </si>
  <si>
    <t>Capsosiphon fulvescens</t>
  </si>
  <si>
    <t>Cardiidae</t>
  </si>
  <si>
    <t>Cardiocardita ajar</t>
  </si>
  <si>
    <t>Cardiocardita spp</t>
  </si>
  <si>
    <t>Carditamera floridana</t>
  </si>
  <si>
    <t>Cardites antiquatus</t>
  </si>
  <si>
    <t>Cardites bicolor</t>
  </si>
  <si>
    <t>Cardites tankervillei</t>
  </si>
  <si>
    <t>Carditidae</t>
  </si>
  <si>
    <t>Cardium costatum</t>
  </si>
  <si>
    <t>Cardium ringens</t>
  </si>
  <si>
    <t>Cardium spp</t>
  </si>
  <si>
    <t>Carradoriella elongata</t>
  </si>
  <si>
    <t>Caulerpa brachypus</t>
  </si>
  <si>
    <t>Caulerpa cupressoides</t>
  </si>
  <si>
    <t>Caulerpa lentillifera</t>
  </si>
  <si>
    <t>Caulerpa nummularia</t>
  </si>
  <si>
    <t>Caulerpa prolifera</t>
  </si>
  <si>
    <t>Caulerpa racemosa</t>
  </si>
  <si>
    <t>Caulerpa serrulata</t>
  </si>
  <si>
    <t>Caulerpa sertularioides</t>
  </si>
  <si>
    <t>Caulerpa spp</t>
  </si>
  <si>
    <t>Caulerpa taxifolia</t>
  </si>
  <si>
    <t>Centroceras clavulatum</t>
  </si>
  <si>
    <t>Cephalopholis aitha</t>
  </si>
  <si>
    <t>Cephalopholis argus</t>
  </si>
  <si>
    <t>Cephalopholis aurantia</t>
  </si>
  <si>
    <t>Cephalopholis boenak</t>
  </si>
  <si>
    <t>Cephalopholis cruentata</t>
  </si>
  <si>
    <t>Cephalopholis cyanostigma</t>
  </si>
  <si>
    <t>Cephalopholis formosa</t>
  </si>
  <si>
    <t>Cephalopholis fulva</t>
  </si>
  <si>
    <t>Cephalopholis hemistiktos</t>
  </si>
  <si>
    <t>Cephalopholis igarashiensis</t>
  </si>
  <si>
    <t>Cephalopholis leopardus</t>
  </si>
  <si>
    <t>Cephalopholis microprion</t>
  </si>
  <si>
    <t>Cephalopholis miniata</t>
  </si>
  <si>
    <t>Cephalopholis nigri</t>
  </si>
  <si>
    <t>Cephalopholis nigripinnis</t>
  </si>
  <si>
    <t>Cephalopholis panamensis</t>
  </si>
  <si>
    <t>Cephalopholis polleni</t>
  </si>
  <si>
    <t>Cephalopholis sexmaculata</t>
  </si>
  <si>
    <t>Cephalopholis sonnerati</t>
  </si>
  <si>
    <t>Cephalopholis spiloparaea</t>
  </si>
  <si>
    <t>Cephalopholis spp</t>
  </si>
  <si>
    <t>Cephalopholis taeniops</t>
  </si>
  <si>
    <t>Cephalopholis urodeta</t>
  </si>
  <si>
    <t>Ceramium ciliatum</t>
  </si>
  <si>
    <t>Ceramium codii</t>
  </si>
  <si>
    <t>Ceramium fimbriatum</t>
  </si>
  <si>
    <t>Ceramium kondoi</t>
  </si>
  <si>
    <t>Ceramium pacificum</t>
  </si>
  <si>
    <t>Ceramium paniculatum</t>
  </si>
  <si>
    <t>Ceramium rubrum</t>
  </si>
  <si>
    <t>Ceramium tenerrimum</t>
  </si>
  <si>
    <t>Ceramium tenuicorne</t>
  </si>
  <si>
    <t>Ceramium virgatum</t>
  </si>
  <si>
    <t>Cerastoderma edule</t>
  </si>
  <si>
    <t>Cerastoderma glaucum</t>
  </si>
  <si>
    <t>Chaetomorpha aerea</t>
  </si>
  <si>
    <t>Chaetomorpha linum</t>
  </si>
  <si>
    <t>Chama buddiana</t>
  </si>
  <si>
    <t>Chama lazarus</t>
  </si>
  <si>
    <t>Chama pacifica</t>
  </si>
  <si>
    <t>Chama savignyi</t>
  </si>
  <si>
    <t>Chamelea gallina</t>
  </si>
  <si>
    <t>Chamelea striatula</t>
  </si>
  <si>
    <t>Cherax albidus</t>
  </si>
  <si>
    <t>Cherax cainii</t>
  </si>
  <si>
    <t>Cherax destructor</t>
  </si>
  <si>
    <t>Cherax quadricarinatus</t>
  </si>
  <si>
    <t>Cherax tenuimanus</t>
  </si>
  <si>
    <t>Chione californiensis</t>
  </si>
  <si>
    <t>Chione cancellata</t>
  </si>
  <si>
    <t>Chione compta</t>
  </si>
  <si>
    <t>Chione fluctifraga</t>
  </si>
  <si>
    <t>Chione gnidia</t>
  </si>
  <si>
    <t>Chione kellettii</t>
  </si>
  <si>
    <t>Chione paphia</t>
  </si>
  <si>
    <t>Chione spp</t>
  </si>
  <si>
    <t>Chione stutchburyi</t>
  </si>
  <si>
    <t>Chione subrugosa</t>
  </si>
  <si>
    <t>Chione undatella</t>
  </si>
  <si>
    <t>Chlamys asperrima</t>
  </si>
  <si>
    <t>Chlamys farreri</t>
  </si>
  <si>
    <t>Chlamys hastata</t>
  </si>
  <si>
    <t>Chlamys islandica</t>
  </si>
  <si>
    <t>Chlamys livida</t>
  </si>
  <si>
    <t>Chlamys multistriata</t>
  </si>
  <si>
    <t>Chlamys rubida</t>
  </si>
  <si>
    <t>Chlamys senatoria</t>
  </si>
  <si>
    <t>Chlamys spp</t>
  </si>
  <si>
    <t>Chlamys squamata</t>
  </si>
  <si>
    <t>Chlorella pyrenoidosa</t>
  </si>
  <si>
    <t>Chlorella sorokiniana</t>
  </si>
  <si>
    <t>Chlorella spp.</t>
  </si>
  <si>
    <t>Chlorella vulgaris</t>
  </si>
  <si>
    <t>Chlorophyceae</t>
  </si>
  <si>
    <t>Chondracanthus acicularis</t>
  </si>
  <si>
    <t>Chondracanthus chamissoi</t>
  </si>
  <si>
    <t>Chondracanthus teedei</t>
  </si>
  <si>
    <t>Chondrus crispus</t>
  </si>
  <si>
    <t>Chondrus elatus</t>
  </si>
  <si>
    <t>Chondrus ocellatus</t>
  </si>
  <si>
    <t>Chondrus pinnulatus</t>
  </si>
  <si>
    <t>Chorda filum</t>
  </si>
  <si>
    <t>Choromytilus chorus</t>
  </si>
  <si>
    <t>Choromytilus meridionalis</t>
  </si>
  <si>
    <t>Choromytilus palliopunctatus</t>
  </si>
  <si>
    <t>Ciliatocardium ciliatum</t>
  </si>
  <si>
    <t>Circe scripta</t>
  </si>
  <si>
    <t>Circentia callipyga</t>
  </si>
  <si>
    <t>Circomphalus rosalina</t>
  </si>
  <si>
    <t>Circomphalus spp</t>
  </si>
  <si>
    <t>Cladodonta lyallii</t>
  </si>
  <si>
    <t>Cladophora albida</t>
  </si>
  <si>
    <t>Cladophora rupestris</t>
  </si>
  <si>
    <t>Cladophora sericea</t>
  </si>
  <si>
    <t>Cladosiphon okamuranus</t>
  </si>
  <si>
    <t>Clavagellidae</t>
  </si>
  <si>
    <t>Clinocardium buelowi</t>
  </si>
  <si>
    <t>Clinocardium nuttallii</t>
  </si>
  <si>
    <t>Codakia interrupta</t>
  </si>
  <si>
    <t>Codakia orbicularis</t>
  </si>
  <si>
    <t>Codakia punctata</t>
  </si>
  <si>
    <t>Codakia spp</t>
  </si>
  <si>
    <t>Codakia tigerina</t>
  </si>
  <si>
    <t>Codium adhaerens</t>
  </si>
  <si>
    <t>Codium arabicum</t>
  </si>
  <si>
    <t>Codium contractum</t>
  </si>
  <si>
    <t>Codium cylindricum</t>
  </si>
  <si>
    <t>Codium edule</t>
  </si>
  <si>
    <t>Codium fragile</t>
  </si>
  <si>
    <t>Codium platylobium</t>
  </si>
  <si>
    <t>Codium repens</t>
  </si>
  <si>
    <t>Codium spongiosum</t>
  </si>
  <si>
    <t>Codium tomentosum</t>
  </si>
  <si>
    <t>Coptodon rendalli</t>
  </si>
  <si>
    <t>Corallina elongata</t>
  </si>
  <si>
    <t>Corbicula fluminea</t>
  </si>
  <si>
    <t>Corbicula japonica</t>
  </si>
  <si>
    <t>Corbicula manilensis</t>
  </si>
  <si>
    <t>Corbicula spp</t>
  </si>
  <si>
    <t>Corculum cardissa</t>
  </si>
  <si>
    <t>Costaria costata</t>
  </si>
  <si>
    <t>Crassostrea ariakensis</t>
  </si>
  <si>
    <t>Crassostrea belcheri</t>
  </si>
  <si>
    <t>Crassostrea columbiensis</t>
  </si>
  <si>
    <t>Crassostrea corteziensis</t>
  </si>
  <si>
    <t>Crassostrea gryphoides</t>
  </si>
  <si>
    <t>Crassostrea iredalei</t>
  </si>
  <si>
    <t>Crassostrea madrasensis</t>
  </si>
  <si>
    <t>Crassostrea rhizophorae</t>
  </si>
  <si>
    <t>Crassostrea rivularis</t>
  </si>
  <si>
    <t>Crassostrea sikamea</t>
  </si>
  <si>
    <t>Crassostrea spp</t>
  </si>
  <si>
    <t>Crassostrea tulipa</t>
  </si>
  <si>
    <t>Crassostrea virginica</t>
  </si>
  <si>
    <t>Cristaria plicata</t>
  </si>
  <si>
    <t>Cromileptes altivelis</t>
  </si>
  <si>
    <t>Cruoria pellita</t>
  </si>
  <si>
    <t>Crypthecodinium cohnii</t>
  </si>
  <si>
    <t>Ctenoides scabra</t>
  </si>
  <si>
    <t>Cucullaea labiata</t>
  </si>
  <si>
    <t>Cultellus spp</t>
  </si>
  <si>
    <t>Cultellus tenuis</t>
  </si>
  <si>
    <t>Cuspidaria cuspidata</t>
  </si>
  <si>
    <t>Cyanophyceae</t>
  </si>
  <si>
    <t>Cyclina sinensis</t>
  </si>
  <si>
    <t>Cyclocardia astartoides</t>
  </si>
  <si>
    <t>Cyrtodaria siliqua</t>
  </si>
  <si>
    <t>Cyrtopleura costata</t>
  </si>
  <si>
    <t>Cystoclonium purpureum</t>
  </si>
  <si>
    <t>Cystoseira barbata</t>
  </si>
  <si>
    <t>Darina rustica</t>
  </si>
  <si>
    <t>Darina spp</t>
  </si>
  <si>
    <t>Decatopecten amiculum</t>
  </si>
  <si>
    <t>Decatopecten radula</t>
  </si>
  <si>
    <t>Delectopecten vitreus</t>
  </si>
  <si>
    <t>Delesseria sanguinea</t>
  </si>
  <si>
    <t>Dendostrea folium</t>
  </si>
  <si>
    <t>Dendostrea frons</t>
  </si>
  <si>
    <t>Desmarestia aculeata</t>
  </si>
  <si>
    <t>Diacronema lutheri</t>
  </si>
  <si>
    <t>Dicentrarchus labrax</t>
  </si>
  <si>
    <t>Dicentrarchus punctatus</t>
  </si>
  <si>
    <t>Dicentrarchus spp</t>
  </si>
  <si>
    <t>Dictyopteris plagiogramma</t>
  </si>
  <si>
    <t>Dictyopteris polypodioides</t>
  </si>
  <si>
    <t>Dictyopteris undulata</t>
  </si>
  <si>
    <t>Dictyota dichotoma</t>
  </si>
  <si>
    <t>Digenea simplex</t>
  </si>
  <si>
    <t>Dilsea carnosa</t>
  </si>
  <si>
    <t>Dinocardium robustum</t>
  </si>
  <si>
    <t>Dinophyceae</t>
  </si>
  <si>
    <t>Donacilla cornea</t>
  </si>
  <si>
    <t>Donax asper</t>
  </si>
  <si>
    <t>Donax californicus</t>
  </si>
  <si>
    <t>Donax carinatus</t>
  </si>
  <si>
    <t>Donax cuneatus</t>
  </si>
  <si>
    <t>Donax deltoides</t>
  </si>
  <si>
    <t>Donax denticulatus</t>
  </si>
  <si>
    <t>Donax dentifer</t>
  </si>
  <si>
    <t>Donax faba</t>
  </si>
  <si>
    <t>Donax gouldii</t>
  </si>
  <si>
    <t>Donax gracilis</t>
  </si>
  <si>
    <t>Donax hanleyanus</t>
  </si>
  <si>
    <t>Donax incarnatus</t>
  </si>
  <si>
    <t>Donax peruvianus</t>
  </si>
  <si>
    <t>Donax pulchellus</t>
  </si>
  <si>
    <t>Donax punctatostriatus</t>
  </si>
  <si>
    <t>Donax rugosus</t>
  </si>
  <si>
    <t>Donax scortum</t>
  </si>
  <si>
    <t>Donax semistriatus</t>
  </si>
  <si>
    <t>Donax spp</t>
  </si>
  <si>
    <t>Donax striatus</t>
  </si>
  <si>
    <t>Donax trunculus</t>
  </si>
  <si>
    <t>Donax variegatus</t>
  </si>
  <si>
    <t>Donax venustus</t>
  </si>
  <si>
    <t>Donax vittatus</t>
  </si>
  <si>
    <t>Dosinia dunkeri</t>
  </si>
  <si>
    <t>Dosinia exoleta</t>
  </si>
  <si>
    <t>Dosinia japonica</t>
  </si>
  <si>
    <t>Dosinia lupinus</t>
  </si>
  <si>
    <t>Dosinia orbignyi</t>
  </si>
  <si>
    <t>Dosinia ponderosa</t>
  </si>
  <si>
    <t>Dosinia spp</t>
  </si>
  <si>
    <t>Dreissena polymorpha</t>
  </si>
  <si>
    <t>Dumontia contorta</t>
  </si>
  <si>
    <t>Dunaliella salina</t>
  </si>
  <si>
    <t>Dunaliella tertiolecta</t>
  </si>
  <si>
    <t>Durvillaea antarctica</t>
  </si>
  <si>
    <t>Eastonia rugosa</t>
  </si>
  <si>
    <t>Ecklonia radiata</t>
  </si>
  <si>
    <t>Ecklonia stolonifera</t>
  </si>
  <si>
    <t>Ectocarpus fasciculatus</t>
  </si>
  <si>
    <t>Ectocarpus siliculosus</t>
  </si>
  <si>
    <t>Eisenia arborea</t>
  </si>
  <si>
    <t>Elachista fucicola</t>
  </si>
  <si>
    <t>Ellipsaria lineolata</t>
  </si>
  <si>
    <t>Ensis ensis</t>
  </si>
  <si>
    <t>Ensis goreensis</t>
  </si>
  <si>
    <t>Ensis leei</t>
  </si>
  <si>
    <t>Ensis macha</t>
  </si>
  <si>
    <t>Ensis magnus</t>
  </si>
  <si>
    <t>Ensis siliqua</t>
  </si>
  <si>
    <t>Ensis spp</t>
  </si>
  <si>
    <t>Epicodakia bella</t>
  </si>
  <si>
    <t>Epinephelus adscensionis</t>
  </si>
  <si>
    <t>Epinephelus aeneus</t>
  </si>
  <si>
    <t>Epinephelus akaara</t>
  </si>
  <si>
    <t>Epinephelus albomarginatus</t>
  </si>
  <si>
    <t>Epinephelus amblycephalus</t>
  </si>
  <si>
    <t>Epinephelus analogus</t>
  </si>
  <si>
    <t>Epinephelus andersoni</t>
  </si>
  <si>
    <t>Epinephelus areolatus</t>
  </si>
  <si>
    <t>Epinephelus awoara</t>
  </si>
  <si>
    <t>Epinephelus bleekeri</t>
  </si>
  <si>
    <t>Epinephelus bruneus</t>
  </si>
  <si>
    <t>Epinephelus caninus</t>
  </si>
  <si>
    <t>Epinephelus chabaudi</t>
  </si>
  <si>
    <t>Epinephelus chlorostigma</t>
  </si>
  <si>
    <t>Epinephelus cifuentesi</t>
  </si>
  <si>
    <t>Epinephelus coeruleopunctatus</t>
  </si>
  <si>
    <t>Epinephelus coioides</t>
  </si>
  <si>
    <t>Epinephelus costae</t>
  </si>
  <si>
    <t>Epinephelus cyanopodus</t>
  </si>
  <si>
    <t>Epinephelus daemelii</t>
  </si>
  <si>
    <t>Epinephelus diacanthus</t>
  </si>
  <si>
    <t>Epinephelus drummondhayi</t>
  </si>
  <si>
    <t>Epinephelus epistictus</t>
  </si>
  <si>
    <t>Epinephelus fasciatomaculosus</t>
  </si>
  <si>
    <t>Epinephelus fasciatus</t>
  </si>
  <si>
    <t>Epinephelus faveatus</t>
  </si>
  <si>
    <t>Epinephelus flavocaeruleus</t>
  </si>
  <si>
    <t>Epinephelus fuscoguttatus</t>
  </si>
  <si>
    <t>Epinephelus fuscoguttatus x Epinephelus lanceolatus</t>
  </si>
  <si>
    <t>Epinephelus goreensis</t>
  </si>
  <si>
    <t>Epinephelus guttatus</t>
  </si>
  <si>
    <t>Epinephelus heniochus</t>
  </si>
  <si>
    <t>Epinephelus hexagonatus</t>
  </si>
  <si>
    <t>Epinephelus irroratus</t>
  </si>
  <si>
    <t>Epinephelus itajara</t>
  </si>
  <si>
    <t>Epinephelus labriformis</t>
  </si>
  <si>
    <t>Epinephelus lanceolatus</t>
  </si>
  <si>
    <t>Epinephelus latifasciatus</t>
  </si>
  <si>
    <t>Epinephelus longispinis</t>
  </si>
  <si>
    <t>Epinephelus macrospilos</t>
  </si>
  <si>
    <t>Epinephelus maculatus</t>
  </si>
  <si>
    <t>Epinephelus magniscuttis</t>
  </si>
  <si>
    <t>Epinephelus malabaricus</t>
  </si>
  <si>
    <t>Epinephelus marginatus</t>
  </si>
  <si>
    <t>Epinephelus melanostigma</t>
  </si>
  <si>
    <t>Epinephelus merra</t>
  </si>
  <si>
    <t>Epinephelus miliaris</t>
  </si>
  <si>
    <t>Epinephelus morio</t>
  </si>
  <si>
    <t>Epinephelus morrhua</t>
  </si>
  <si>
    <t>Epinephelus multinotatus</t>
  </si>
  <si>
    <t>Epinephelus poecilonotus</t>
  </si>
  <si>
    <t>Epinephelus polylepis</t>
  </si>
  <si>
    <t>Epinephelus polyphekadion</t>
  </si>
  <si>
    <t>Epinephelus posteli</t>
  </si>
  <si>
    <t>Epinephelus quernus</t>
  </si>
  <si>
    <t>Epinephelus quinquefasciatus</t>
  </si>
  <si>
    <t>Epinephelus quoyanus</t>
  </si>
  <si>
    <t>Epinephelus radiatus</t>
  </si>
  <si>
    <t>Epinephelus retouti</t>
  </si>
  <si>
    <t>Epinephelus rivulatus</t>
  </si>
  <si>
    <t>Epinephelus septemfasciatus</t>
  </si>
  <si>
    <t>Epinephelus sexfasciatus</t>
  </si>
  <si>
    <t>Epinephelus spilotoceps</t>
  </si>
  <si>
    <t>Epinephelus spp</t>
  </si>
  <si>
    <t>Epinephelus stictus</t>
  </si>
  <si>
    <t>Epinephelus stoliczkae</t>
  </si>
  <si>
    <t>Epinephelus striatus</t>
  </si>
  <si>
    <t>Epinephelus summana</t>
  </si>
  <si>
    <t>Epinephelus tauvina</t>
  </si>
  <si>
    <t>Epinephelus trimaculatus</t>
  </si>
  <si>
    <t>Epinephelus tuamotuensis</t>
  </si>
  <si>
    <t>Epinephelus tukula</t>
  </si>
  <si>
    <t>Epinephelus undulosus</t>
  </si>
  <si>
    <t>Equichlamys bifrons</t>
  </si>
  <si>
    <t>Erythrotrichia carnea</t>
  </si>
  <si>
    <t>Estellacar olivacea</t>
  </si>
  <si>
    <t>Eucheuma arnoldii</t>
  </si>
  <si>
    <t>Eucheuma cottonii</t>
  </si>
  <si>
    <t>Eucheuma denticulatum</t>
  </si>
  <si>
    <t>Eucheuma isiforme</t>
  </si>
  <si>
    <t>Eucheuma spp</t>
  </si>
  <si>
    <t>Euciroa galatheae</t>
  </si>
  <si>
    <t>Euglena cantabrica</t>
  </si>
  <si>
    <t>Euglena gracilis</t>
  </si>
  <si>
    <t>Euglena spp.</t>
  </si>
  <si>
    <t>Eumarcia paupercula</t>
  </si>
  <si>
    <t>Eurhomalea exalbida</t>
  </si>
  <si>
    <t>Eurhomalea rufa</t>
  </si>
  <si>
    <t>Eurhomalea spp</t>
  </si>
  <si>
    <t>Ex Pinctada spp</t>
  </si>
  <si>
    <t>Ex Unionidae</t>
  </si>
  <si>
    <t>Fabulina fabula</t>
  </si>
  <si>
    <t>Fimbria fimbriata</t>
  </si>
  <si>
    <t>Fimbria soverbii</t>
  </si>
  <si>
    <t>Flexopecten flexuosus</t>
  </si>
  <si>
    <t>Flexopecten glaber</t>
  </si>
  <si>
    <t>Flexopecten proteus</t>
  </si>
  <si>
    <t>Fragum fragum</t>
  </si>
  <si>
    <t>Fragum hemicardium</t>
  </si>
  <si>
    <t>Fragum unedo</t>
  </si>
  <si>
    <t>Fucaceae</t>
  </si>
  <si>
    <t>Fucus distichus</t>
  </si>
  <si>
    <t>Fucus gardneri</t>
  </si>
  <si>
    <t>Fucus serratus</t>
  </si>
  <si>
    <t>Fucus spiralis</t>
  </si>
  <si>
    <t>Fucus spp</t>
  </si>
  <si>
    <t>Fucus vesiculosus</t>
  </si>
  <si>
    <t>Fucus virsoides</t>
  </si>
  <si>
    <t>Fulvia mutica</t>
  </si>
  <si>
    <t>Fulvia papyracea</t>
  </si>
  <si>
    <t>Fulvia spp</t>
  </si>
  <si>
    <t>Furcellaria lumbricalis</t>
  </si>
  <si>
    <t>Gafrarium dispar</t>
  </si>
  <si>
    <t>Gafrarium divaricatum</t>
  </si>
  <si>
    <t>Gafrarium pectinatum</t>
  </si>
  <si>
    <t>Gafrarium spp</t>
  </si>
  <si>
    <t>Gafrarium tumidum</t>
  </si>
  <si>
    <t>Galatea paradoxa</t>
  </si>
  <si>
    <t>Galatea spp</t>
  </si>
  <si>
    <t>Gari depressa</t>
  </si>
  <si>
    <t>Gari elongata</t>
  </si>
  <si>
    <t>Gari fervensis</t>
  </si>
  <si>
    <t>Gari minor</t>
  </si>
  <si>
    <t>Gari spp</t>
  </si>
  <si>
    <t>Gari squamosa</t>
  </si>
  <si>
    <t>Gari togata</t>
  </si>
  <si>
    <t>Gari truncata</t>
  </si>
  <si>
    <t>Gastrana fragilis</t>
  </si>
  <si>
    <t>Gastroclonium ovatum</t>
  </si>
  <si>
    <t>Gelidiella acerosa</t>
  </si>
  <si>
    <t>Gelidium amansii</t>
  </si>
  <si>
    <t>Gelidium chilense</t>
  </si>
  <si>
    <t>Gelidium corneum</t>
  </si>
  <si>
    <t>Gelidium crinale</t>
  </si>
  <si>
    <t>Gelidium johnstonii</t>
  </si>
  <si>
    <t>Gelidium lingulatum</t>
  </si>
  <si>
    <t>Gelidium madagascariense</t>
  </si>
  <si>
    <t>Gelidium pusillum</t>
  </si>
  <si>
    <t>Gelidium rex</t>
  </si>
  <si>
    <t>Gelidium spp</t>
  </si>
  <si>
    <t>Geukensia demissa</t>
  </si>
  <si>
    <t>Gigartina pistillata</t>
  </si>
  <si>
    <t>Gigartina skottsbergii</t>
  </si>
  <si>
    <t>Gigartinaceae</t>
  </si>
  <si>
    <t>Glauconome virens</t>
  </si>
  <si>
    <t>Gloripallium pallium</t>
  </si>
  <si>
    <t>Glossus humanus</t>
  </si>
  <si>
    <t>Glycymeris bimaculata</t>
  </si>
  <si>
    <t>Glycymeris gigantea</t>
  </si>
  <si>
    <t>Glycymeris glycymeris</t>
  </si>
  <si>
    <t>Glycymeris longior</t>
  </si>
  <si>
    <t>Glycymeris maculata</t>
  </si>
  <si>
    <t>Glycymeris ovata</t>
  </si>
  <si>
    <t>Glycymeris pilosa</t>
  </si>
  <si>
    <t>Glycymeris reevei</t>
  </si>
  <si>
    <t>Glycymeris scripta</t>
  </si>
  <si>
    <t>Glycymeris stellata</t>
  </si>
  <si>
    <t>Glycymeris undata</t>
  </si>
  <si>
    <t>Glycymeris violacescens</t>
  </si>
  <si>
    <t>Gomphina aequilatera</t>
  </si>
  <si>
    <t>Gracilaria arcuata</t>
  </si>
  <si>
    <t>Gracilaria chilensis</t>
  </si>
  <si>
    <t>Gracilaria dura</t>
  </si>
  <si>
    <t>Gracilaria edulis</t>
  </si>
  <si>
    <t>Gracilaria gracilis</t>
  </si>
  <si>
    <t>Gracilaria multipartita</t>
  </si>
  <si>
    <t>Gracilaria salicornia</t>
  </si>
  <si>
    <t>Gracilaria spinigera</t>
  </si>
  <si>
    <t>Gracilaria spp</t>
  </si>
  <si>
    <t>Gracilaria textorii</t>
  </si>
  <si>
    <t>Gracilaria veleroae</t>
  </si>
  <si>
    <t>Gracilaria verrucosa</t>
  </si>
  <si>
    <t>Gracilariopsis longissima</t>
  </si>
  <si>
    <t>Gymnogongrus furcellatus</t>
  </si>
  <si>
    <t>Gymnogongrus griffithsiae</t>
  </si>
  <si>
    <t>Gymnogongrus spp</t>
  </si>
  <si>
    <t>Gymnogongrus tenuis</t>
  </si>
  <si>
    <t>Haematococcus pluvialis</t>
  </si>
  <si>
    <t>Halidrys siliquosa</t>
  </si>
  <si>
    <t>Halimeda tuna</t>
  </si>
  <si>
    <t>Haliotis asinina</t>
  </si>
  <si>
    <t>Haliotis assimilis</t>
  </si>
  <si>
    <t>Haliotis corrugata</t>
  </si>
  <si>
    <t>Haliotis cracherodii</t>
  </si>
  <si>
    <t>Haliotis cyclobates</t>
  </si>
  <si>
    <t>Haliotis discus</t>
  </si>
  <si>
    <t>Haliotis diversicolor</t>
  </si>
  <si>
    <t>Haliotis fulgens</t>
  </si>
  <si>
    <t>Haliotis gigantea</t>
  </si>
  <si>
    <t>Haliotis glabra</t>
  </si>
  <si>
    <t>Haliotis iris</t>
  </si>
  <si>
    <t>Haliotis kamtschatkana</t>
  </si>
  <si>
    <t>Haliotis laevigata</t>
  </si>
  <si>
    <t>Haliotis laevigata x Haliotis rubra</t>
  </si>
  <si>
    <t>Haliotis midae</t>
  </si>
  <si>
    <t>Haliotis ovina</t>
  </si>
  <si>
    <t>Haliotis planata</t>
  </si>
  <si>
    <t>Haliotis roei</t>
  </si>
  <si>
    <t>Haliotis rubra</t>
  </si>
  <si>
    <t>Haliotis rufescens</t>
  </si>
  <si>
    <t>Haliotis scalaris</t>
  </si>
  <si>
    <t>Haliotis sorenseni</t>
  </si>
  <si>
    <t>Haliotis spadicea</t>
  </si>
  <si>
    <t>Haliotis spp</t>
  </si>
  <si>
    <t>Haliotis tuberculata</t>
  </si>
  <si>
    <t>Haliotis varia</t>
  </si>
  <si>
    <t>Halymenia dilatata</t>
  </si>
  <si>
    <t>Harvella vitrea</t>
  </si>
  <si>
    <t>Helicophagus typus</t>
  </si>
  <si>
    <t>Hemidonax donaciformis</t>
  </si>
  <si>
    <t>Heterodonax pacificus</t>
  </si>
  <si>
    <t>Hiatella arctica</t>
  </si>
  <si>
    <t>Hiatula chinensis</t>
  </si>
  <si>
    <t>Hildenbrandia rubra</t>
  </si>
  <si>
    <t>Himanthalia elongata</t>
  </si>
  <si>
    <t>Hinnites giganteus</t>
  </si>
  <si>
    <t>Hippoglossus hippoglossus</t>
  </si>
  <si>
    <t>Hippoglossus stenolepis</t>
  </si>
  <si>
    <t>Hippopus hippopus</t>
  </si>
  <si>
    <t>Hippopus porcellanus</t>
  </si>
  <si>
    <t>Hydroclathrus clathratus</t>
  </si>
  <si>
    <t>Hydropuntia eucheumatoides</t>
  </si>
  <si>
    <t>Hyotissa fisheri</t>
  </si>
  <si>
    <t>Hyotissa hyotis</t>
  </si>
  <si>
    <t>Hyotissa spp</t>
  </si>
  <si>
    <t>Hypanis plicatus</t>
  </si>
  <si>
    <t>Hypnea boergesenii</t>
  </si>
  <si>
    <t>Hypnea charoides</t>
  </si>
  <si>
    <t>Hypnea chordacea</t>
  </si>
  <si>
    <t>Hypnea cornuta</t>
  </si>
  <si>
    <t>Hypnea japonica</t>
  </si>
  <si>
    <t>Hypnea musciformis</t>
  </si>
  <si>
    <t>Hypnea pannosa</t>
  </si>
  <si>
    <t>Hypnea saidana</t>
  </si>
  <si>
    <t>Hypnea spicifera</t>
  </si>
  <si>
    <t>Hypnea spinella</t>
  </si>
  <si>
    <t>Hypnea valentiae</t>
  </si>
  <si>
    <t>Hyriopsis cumingii</t>
  </si>
  <si>
    <t>Hyriopsis schlegelii</t>
  </si>
  <si>
    <t>Iphigenia altior</t>
  </si>
  <si>
    <t>Iphigenia brasiliana</t>
  </si>
  <si>
    <t>Iphigenia delesserti</t>
  </si>
  <si>
    <t>Iphigenia laevigata</t>
  </si>
  <si>
    <t>Iphigenia rostrata</t>
  </si>
  <si>
    <t>Iphigenia spp</t>
  </si>
  <si>
    <t>Iridaea cordata</t>
  </si>
  <si>
    <t>Iridaea spp</t>
  </si>
  <si>
    <t>Ischadium recurvum</t>
  </si>
  <si>
    <t>Isochrysis galbana</t>
  </si>
  <si>
    <t>Isognomon alatus</t>
  </si>
  <si>
    <t>Isognomon ephippium</t>
  </si>
  <si>
    <t>Isognomon isognomum</t>
  </si>
  <si>
    <t>Isognomon janus</t>
  </si>
  <si>
    <t>Isognomon perna</t>
  </si>
  <si>
    <t>Isognomon recognitus</t>
  </si>
  <si>
    <t>Isognomon spp</t>
  </si>
  <si>
    <t>Jania adhaerens</t>
  </si>
  <si>
    <t>Jania rubens</t>
  </si>
  <si>
    <t>Kappaphycus alvarezii</t>
  </si>
  <si>
    <t>Katelysia hiantina</t>
  </si>
  <si>
    <t>Katelysia japonica</t>
  </si>
  <si>
    <t>Katelysia marmorata</t>
  </si>
  <si>
    <t>Laevicardium crassum</t>
  </si>
  <si>
    <t>Laevicardium elatum</t>
  </si>
  <si>
    <t>Laevicardium laevigatum</t>
  </si>
  <si>
    <t>Laevicardium oblongum</t>
  </si>
  <si>
    <t>Laevicardium spp</t>
  </si>
  <si>
    <t>Laminaria digitata</t>
  </si>
  <si>
    <t>Laminaria hyperborea</t>
  </si>
  <si>
    <t>Laminaria ochroleuca</t>
  </si>
  <si>
    <t>Laminaria spp</t>
  </si>
  <si>
    <t>Laminariaceae</t>
  </si>
  <si>
    <t>Lampsis fasciola</t>
  </si>
  <si>
    <t>Larimichthys croceus</t>
  </si>
  <si>
    <t>Larimichthys polyactis</t>
  </si>
  <si>
    <t>Laternula elliptica</t>
  </si>
  <si>
    <t>Laternula spp</t>
  </si>
  <si>
    <t>Laternula truncata</t>
  </si>
  <si>
    <t>Lates angustifrons</t>
  </si>
  <si>
    <t>Lates calcarifer</t>
  </si>
  <si>
    <t>Lates macrophthalmus</t>
  </si>
  <si>
    <t>Lates mariae</t>
  </si>
  <si>
    <t>Lates microlepis</t>
  </si>
  <si>
    <t>Lates niloticus</t>
  </si>
  <si>
    <t>Lates spp</t>
  </si>
  <si>
    <t>Lates stappersii</t>
  </si>
  <si>
    <t>Laurencia obtusa</t>
  </si>
  <si>
    <t>Laurencia pacifica</t>
  </si>
  <si>
    <t>Laurencia sinicola</t>
  </si>
  <si>
    <t>Leptosiphonia brodiei</t>
  </si>
  <si>
    <t>Leptosiphonia fibrillosa</t>
  </si>
  <si>
    <t>Lessonia fuscescens</t>
  </si>
  <si>
    <t>Lessonia nigrescens</t>
  </si>
  <si>
    <t>Lessonia spp</t>
  </si>
  <si>
    <t>Lessonia trabeculata</t>
  </si>
  <si>
    <t>Leukoma asperrima</t>
  </si>
  <si>
    <t>Leukoma spp</t>
  </si>
  <si>
    <t>Leukoma thaca</t>
  </si>
  <si>
    <t>Lima lima</t>
  </si>
  <si>
    <t>Lima vulgaris</t>
  </si>
  <si>
    <t>Limaria hians</t>
  </si>
  <si>
    <t>Limaria tuberculata</t>
  </si>
  <si>
    <t>Limecola balthica</t>
  </si>
  <si>
    <t>Limopsis marionensis</t>
  </si>
  <si>
    <t>Lioconcha castrensis</t>
  </si>
  <si>
    <t>Lioconcha ornata</t>
  </si>
  <si>
    <t>Lithophaga attenuata</t>
  </si>
  <si>
    <t>Lithophaga lithophaga</t>
  </si>
  <si>
    <t>Lithophaga spp</t>
  </si>
  <si>
    <t>Lithophaga teres</t>
  </si>
  <si>
    <t>Lithophyllum lichenoides</t>
  </si>
  <si>
    <t>Lithothamnion corallioides</t>
  </si>
  <si>
    <t>Lithothamnion glaciale</t>
  </si>
  <si>
    <t>Lithothamnion spp</t>
  </si>
  <si>
    <t>Lomentaria articulata</t>
  </si>
  <si>
    <t>Lomentaria clavellosa</t>
  </si>
  <si>
    <t>Lopha cristagalli</t>
  </si>
  <si>
    <t>Loripes orbiculatus</t>
  </si>
  <si>
    <t>Lucina pensylvanica</t>
  </si>
  <si>
    <t>Lucina spp</t>
  </si>
  <si>
    <t>Lucinoma borealis</t>
  </si>
  <si>
    <t>Lutjanus adetii</t>
  </si>
  <si>
    <t>Lutjanus agennes</t>
  </si>
  <si>
    <t>Lutjanus analis</t>
  </si>
  <si>
    <t>Lutjanus apodus</t>
  </si>
  <si>
    <t>Lutjanus aratus</t>
  </si>
  <si>
    <t>Lutjanus argentimaculatus</t>
  </si>
  <si>
    <t>Lutjanus argentiventris</t>
  </si>
  <si>
    <t>Lutjanus bengalensis</t>
  </si>
  <si>
    <t>Lutjanus bohar</t>
  </si>
  <si>
    <t>Lutjanus buccanella</t>
  </si>
  <si>
    <t>Lutjanus campechanus</t>
  </si>
  <si>
    <t>Lutjanus coeruleolineatus</t>
  </si>
  <si>
    <t>Lutjanus colorado</t>
  </si>
  <si>
    <t>Lutjanus cyanopterus</t>
  </si>
  <si>
    <t>Lutjanus decussatus</t>
  </si>
  <si>
    <t>Lutjanus dentatus</t>
  </si>
  <si>
    <t>Lutjanus ehrenbergii</t>
  </si>
  <si>
    <t>Lutjanus endecacanthus</t>
  </si>
  <si>
    <t>Lutjanus erythropterus</t>
  </si>
  <si>
    <t>Lutjanus fulgens</t>
  </si>
  <si>
    <t>Lutjanus fulviflamma</t>
  </si>
  <si>
    <t>Lutjanus fulvus</t>
  </si>
  <si>
    <t>Lutjanus gibbus</t>
  </si>
  <si>
    <t>Lutjanus goldiei</t>
  </si>
  <si>
    <t>Lutjanus goreensis</t>
  </si>
  <si>
    <t>Lutjanus griseus</t>
  </si>
  <si>
    <t>Lutjanus guilcheri</t>
  </si>
  <si>
    <t>Lutjanus guttatus</t>
  </si>
  <si>
    <t>Lutjanus indicus</t>
  </si>
  <si>
    <t>Lutjanus inermis</t>
  </si>
  <si>
    <t>Lutjanus jocu</t>
  </si>
  <si>
    <t>Lutjanus johnii</t>
  </si>
  <si>
    <t>Lutjanus jordani</t>
  </si>
  <si>
    <t>Lutjanus kasmira</t>
  </si>
  <si>
    <t>Lutjanus lemniscatus</t>
  </si>
  <si>
    <t>Lutjanus lunulatus</t>
  </si>
  <si>
    <t>Lutjanus lutjanus</t>
  </si>
  <si>
    <t>Lutjanus mahogoni</t>
  </si>
  <si>
    <t>Lutjanus malabaricus</t>
  </si>
  <si>
    <t>Lutjanus monostigma</t>
  </si>
  <si>
    <t>Lutjanus notatus</t>
  </si>
  <si>
    <t>Lutjanus novemfasciatus</t>
  </si>
  <si>
    <t>Lutjanus peru</t>
  </si>
  <si>
    <t>Lutjanus purpureus</t>
  </si>
  <si>
    <t>Lutjanus quinquelineatus</t>
  </si>
  <si>
    <t>Lutjanus rivulatus</t>
  </si>
  <si>
    <t>Lutjanus rufolineatus</t>
  </si>
  <si>
    <t>Lutjanus russellii</t>
  </si>
  <si>
    <t>Lutjanus sanguineus</t>
  </si>
  <si>
    <t>Lutjanus sebae</t>
  </si>
  <si>
    <t>Lutjanus spp</t>
  </si>
  <si>
    <t>Lutjanus stellatus</t>
  </si>
  <si>
    <t>Lutjanus synagris</t>
  </si>
  <si>
    <t>Lutjanus timorensis</t>
  </si>
  <si>
    <t>Lutjanus viridis</t>
  </si>
  <si>
    <t>Lutjanus vitta</t>
  </si>
  <si>
    <t>Lutjanus vivanus</t>
  </si>
  <si>
    <t>Lutraria angustior</t>
  </si>
  <si>
    <t>Lutraria elongata</t>
  </si>
  <si>
    <t>Lutraria lutraria</t>
  </si>
  <si>
    <t>Lutraria maxima</t>
  </si>
  <si>
    <t>Lutraria oblonga</t>
  </si>
  <si>
    <t>Lutraria spp</t>
  </si>
  <si>
    <t>Lyrodus pedicellatus</t>
  </si>
  <si>
    <t>Lyropecten nodosus</t>
  </si>
  <si>
    <t>Lyropecten subnodosus</t>
  </si>
  <si>
    <t>Macoma brevifrons</t>
  </si>
  <si>
    <t>Macoma calcarea</t>
  </si>
  <si>
    <t>Macoma cancellata</t>
  </si>
  <si>
    <t>Macoma constricta</t>
  </si>
  <si>
    <t>Macoma grandis</t>
  </si>
  <si>
    <t>Macoma nasuta</t>
  </si>
  <si>
    <t>Macoma secta</t>
  </si>
  <si>
    <t>Macoma spp</t>
  </si>
  <si>
    <t>Macomangulus tenuis</t>
  </si>
  <si>
    <t>Macrobrachium acanthurus</t>
  </si>
  <si>
    <t>Macrobrachium aemulum</t>
  </si>
  <si>
    <t>Macrobrachium amazonicum</t>
  </si>
  <si>
    <t>Macrobrachium americanum</t>
  </si>
  <si>
    <t>Macrobrachium assamense</t>
  </si>
  <si>
    <t>Macrobrachium australe</t>
  </si>
  <si>
    <t>Macrobrachium birmanicum</t>
  </si>
  <si>
    <t>Macrobrachium caledonicum</t>
  </si>
  <si>
    <t>Macrobrachium carcinus</t>
  </si>
  <si>
    <t>Macrobrachium choprai</t>
  </si>
  <si>
    <t>Macrobrachium dayanum</t>
  </si>
  <si>
    <t>Macrobrachium dux</t>
  </si>
  <si>
    <t>Macrobrachium equidens</t>
  </si>
  <si>
    <t>Macrobrachium esculentum</t>
  </si>
  <si>
    <t>Macrobrachium formosense</t>
  </si>
  <si>
    <t>Macrobrachium geron</t>
  </si>
  <si>
    <t>Macrobrachium grandimanus</t>
  </si>
  <si>
    <t>Macrobrachium hancocki</t>
  </si>
  <si>
    <t>Macrobrachium heterochirus</t>
  </si>
  <si>
    <t>Macrobrachium idae</t>
  </si>
  <si>
    <t>Macrobrachium idella</t>
  </si>
  <si>
    <t>Macrobrachium intermedium</t>
  </si>
  <si>
    <t>Macrobrachium jaroense</t>
  </si>
  <si>
    <t>Macrobrachium javanicum</t>
  </si>
  <si>
    <t>Macrobrachium jelskii</t>
  </si>
  <si>
    <t>Macrobrachium lamarrei</t>
  </si>
  <si>
    <t>Macrobrachium lanceifrons</t>
  </si>
  <si>
    <t>Macrobrachium lanchesteri</t>
  </si>
  <si>
    <t>Macrobrachium lar</t>
  </si>
  <si>
    <t>Macrobrachium latidactylus</t>
  </si>
  <si>
    <t>Macrobrachium latimanus</t>
  </si>
  <si>
    <t>Macrobrachium lepidactyloides</t>
  </si>
  <si>
    <t>Macrobrachium lepidactylus</t>
  </si>
  <si>
    <t>Macrobrachium macrobrachion</t>
  </si>
  <si>
    <t>Macrobrachium malcolmsonii</t>
  </si>
  <si>
    <t>Macrobrachium mammilodactylus</t>
  </si>
  <si>
    <t>Macrobrachium mirabile</t>
  </si>
  <si>
    <t>Macrobrachium nipponense</t>
  </si>
  <si>
    <t>Macrobrachium occidentale</t>
  </si>
  <si>
    <t>Macrobrachium ohione</t>
  </si>
  <si>
    <t>Macrobrachium olfersii</t>
  </si>
  <si>
    <t>Macrobrachium patsa</t>
  </si>
  <si>
    <t>Macrobrachium pilimanus</t>
  </si>
  <si>
    <t>Macrobrachium raridens</t>
  </si>
  <si>
    <t>Macrobrachium rathbunae</t>
  </si>
  <si>
    <t>Macrobrachium rosenbergii</t>
  </si>
  <si>
    <t>Macrobrachium rude</t>
  </si>
  <si>
    <t>Macrobrachium scabriculum</t>
  </si>
  <si>
    <t>Macrobrachium sintangense</t>
  </si>
  <si>
    <t>Macrobrachium spp</t>
  </si>
  <si>
    <t>Macrobrachium surinamicum</t>
  </si>
  <si>
    <t>Macrobrachium tenellum</t>
  </si>
  <si>
    <t>Macrobrachium trompii</t>
  </si>
  <si>
    <t>Macrobrachium villosimanus</t>
  </si>
  <si>
    <t>Macrobrachium vollenhovenii</t>
  </si>
  <si>
    <t>Macrocallista maculata</t>
  </si>
  <si>
    <t>Macrocallista nimbosa</t>
  </si>
  <si>
    <t>Macrocallista spp</t>
  </si>
  <si>
    <t>Macrocystis integrifolia</t>
  </si>
  <si>
    <t>Macrocystis pyrifera</t>
  </si>
  <si>
    <t>Macrocystis spp</t>
  </si>
  <si>
    <t>Mactra achatina</t>
  </si>
  <si>
    <t>Mactra californica</t>
  </si>
  <si>
    <t>Mactra chinensis</t>
  </si>
  <si>
    <t>Mactra cuneata</t>
  </si>
  <si>
    <t>Mactra discors</t>
  </si>
  <si>
    <t>Mactra glabrata</t>
  </si>
  <si>
    <t>Mactra glauca</t>
  </si>
  <si>
    <t>Mactra iheringi</t>
  </si>
  <si>
    <t>Mactra isabelleana</t>
  </si>
  <si>
    <t>Mactra largillierti</t>
  </si>
  <si>
    <t>Mactra lilacea</t>
  </si>
  <si>
    <t>Mactra luzonica</t>
  </si>
  <si>
    <t>Mactra maculata</t>
  </si>
  <si>
    <t>Mactra mera</t>
  </si>
  <si>
    <t>Mactra murchisoni</t>
  </si>
  <si>
    <t>Mactra nitida</t>
  </si>
  <si>
    <t>Mactra petitii</t>
  </si>
  <si>
    <t>Mactra rostrata</t>
  </si>
  <si>
    <t>Mactra spp</t>
  </si>
  <si>
    <t>Mactra stultorum</t>
  </si>
  <si>
    <t>Mactra velata</t>
  </si>
  <si>
    <t>Mactra veneriformis</t>
  </si>
  <si>
    <t>Mactra violacea</t>
  </si>
  <si>
    <t>Mactrellona alata</t>
  </si>
  <si>
    <t>Mactrellona spp</t>
  </si>
  <si>
    <t>Mactridae</t>
  </si>
  <si>
    <t>Mactromeris polynyma</t>
  </si>
  <si>
    <t>Mactrotoma antecedens</t>
  </si>
  <si>
    <t>Magallana gigas</t>
  </si>
  <si>
    <t>Malletia gigantea</t>
  </si>
  <si>
    <t>Malleus albus</t>
  </si>
  <si>
    <t>Malleus malleus</t>
  </si>
  <si>
    <t>Malleus regula</t>
  </si>
  <si>
    <t>Manupecten pesfelis</t>
  </si>
  <si>
    <t>Marcia flammea</t>
  </si>
  <si>
    <t>Marcia opima</t>
  </si>
  <si>
    <t>Margaritifera falcata</t>
  </si>
  <si>
    <t>Margaritifera margaritifera</t>
  </si>
  <si>
    <t>Martesia striata</t>
  </si>
  <si>
    <t>Mastocarpus pacificus</t>
  </si>
  <si>
    <t>Mastocarpus stellatus</t>
  </si>
  <si>
    <t>Mazzaella laminarioides</t>
  </si>
  <si>
    <t>Megalonaias nervosa</t>
  </si>
  <si>
    <t>Megapitaria aurantiaca</t>
  </si>
  <si>
    <t>Megapitaria squalida</t>
  </si>
  <si>
    <t>Mercenaria campechiensis</t>
  </si>
  <si>
    <t>Mercenaria mercenaria</t>
  </si>
  <si>
    <t>Mercenaria spp</t>
  </si>
  <si>
    <t>Meretrix casta</t>
  </si>
  <si>
    <t>Meretrix lusoria</t>
  </si>
  <si>
    <t>Meretrix lyrata</t>
  </si>
  <si>
    <t>Meretrix meretrix</t>
  </si>
  <si>
    <t>Meretrix petechialis</t>
  </si>
  <si>
    <t>Meretrix spp</t>
  </si>
  <si>
    <t>Meristotheca dakarensis</t>
  </si>
  <si>
    <t>Meristotheca senegalense</t>
  </si>
  <si>
    <t>Meristotheca spp</t>
  </si>
  <si>
    <t>Meropesta capillacea</t>
  </si>
  <si>
    <t>Meropesta pellucida</t>
  </si>
  <si>
    <t>Mesodesma donacium</t>
  </si>
  <si>
    <t>Mesodesma mactroides</t>
  </si>
  <si>
    <t>Mesodesma spp</t>
  </si>
  <si>
    <t>Mesodesma subtriangulatum</t>
  </si>
  <si>
    <t>Mesodesma ventricosum</t>
  </si>
  <si>
    <t>Microchloropsis gaditana</t>
  </si>
  <si>
    <t>Mimachlamys crassicostata</t>
  </si>
  <si>
    <t>Mimachlamys varia</t>
  </si>
  <si>
    <t>Minnivola pyxidata</t>
  </si>
  <si>
    <t>Mizuhopecten yessoensis</t>
  </si>
  <si>
    <t>Modiolus adriaticus</t>
  </si>
  <si>
    <t>Modiolus americanus</t>
  </si>
  <si>
    <t>Modiolus aratus</t>
  </si>
  <si>
    <t>Modiolus auriculatus</t>
  </si>
  <si>
    <t>Modiolus barbatus</t>
  </si>
  <si>
    <t>Modiolus capax</t>
  </si>
  <si>
    <t>Modiolus eiseni</t>
  </si>
  <si>
    <t>Modiolus kurilensis</t>
  </si>
  <si>
    <t>Modiolus metcalfei</t>
  </si>
  <si>
    <t>Modiolus modiolus</t>
  </si>
  <si>
    <t>Modiolus nitens</t>
  </si>
  <si>
    <t>Modiolus philippinarum</t>
  </si>
  <si>
    <t>Modiolus rectus</t>
  </si>
  <si>
    <t>Modiolus rhomboideus</t>
  </si>
  <si>
    <t>Modiolus spp</t>
  </si>
  <si>
    <t>Modiolus squamosus</t>
  </si>
  <si>
    <t>Moerella pulchella</t>
  </si>
  <si>
    <t>Monodacna colorata</t>
  </si>
  <si>
    <t>Monostroma nitidum</t>
  </si>
  <si>
    <t>Monostroma spp</t>
  </si>
  <si>
    <t>Mulinia cleryana</t>
  </si>
  <si>
    <t>Mulinia edulis</t>
  </si>
  <si>
    <t>Mulinia spp</t>
  </si>
  <si>
    <t>Musculista senhousia</t>
  </si>
  <si>
    <t>Musculus discors</t>
  </si>
  <si>
    <t>Mya arenaria</t>
  </si>
  <si>
    <t>Mya spp</t>
  </si>
  <si>
    <t>Mya truncata</t>
  </si>
  <si>
    <t>Mysia undata</t>
  </si>
  <si>
    <t>Mytella guyanensis</t>
  </si>
  <si>
    <t>Mytella speciosa</t>
  </si>
  <si>
    <t>Mytella strigata</t>
  </si>
  <si>
    <t>Mytilidae</t>
  </si>
  <si>
    <t>Mytilopsis leucophaeata</t>
  </si>
  <si>
    <t>Mytilopsis sallei</t>
  </si>
  <si>
    <t>Mytilus californianus</t>
  </si>
  <si>
    <t>Mytilus chilensis</t>
  </si>
  <si>
    <t>Mytilus desolationis</t>
  </si>
  <si>
    <t>Mytilus edulis</t>
  </si>
  <si>
    <t>Mytilus galloprovincialis</t>
  </si>
  <si>
    <t>Mytilus planulatus</t>
  </si>
  <si>
    <t>Mytilus platensis</t>
  </si>
  <si>
    <t>Mytilus spp</t>
  </si>
  <si>
    <t>Mytilus trossulus</t>
  </si>
  <si>
    <t>Mytilus unguiculatus</t>
  </si>
  <si>
    <t>Nannochloris atomus</t>
  </si>
  <si>
    <t>Nannochloropsis oculata</t>
  </si>
  <si>
    <t>Nelumbo nucifera</t>
  </si>
  <si>
    <t>Nemacystus decipiens</t>
  </si>
  <si>
    <t>Nemalion helminthoides</t>
  </si>
  <si>
    <t>Neopycnodonte cochlear</t>
  </si>
  <si>
    <t>Nitzschia closterium</t>
  </si>
  <si>
    <t>Noetia gambiensis</t>
  </si>
  <si>
    <t>Noetia spp</t>
  </si>
  <si>
    <t>Nuttallia nuttallii</t>
  </si>
  <si>
    <t>Nuttallia obscurata</t>
  </si>
  <si>
    <t>Ocyurus chrysurus</t>
  </si>
  <si>
    <t>Oncorhynchus aguabonita</t>
  </si>
  <si>
    <t>Oncorhynchus apache</t>
  </si>
  <si>
    <t>Oncorhynchus chrysogaster</t>
  </si>
  <si>
    <t>Oncorhynchus clarkii</t>
  </si>
  <si>
    <t>Oncorhynchus gilae</t>
  </si>
  <si>
    <t>Oncorhynchus gorbuscha</t>
  </si>
  <si>
    <t>Oncorhynchus keta</t>
  </si>
  <si>
    <t>Oncorhynchus kisutch</t>
  </si>
  <si>
    <t>Oncorhynchus masou</t>
  </si>
  <si>
    <t>Oncorhynchus mykiss</t>
  </si>
  <si>
    <t>Oncorhynchus nerka</t>
  </si>
  <si>
    <t>Oncorhynchus rhodurus</t>
  </si>
  <si>
    <t>Oncorhynchus spp</t>
  </si>
  <si>
    <t>Oncorhynchus tshawytscha</t>
  </si>
  <si>
    <t>Oreochromis alcalicus</t>
  </si>
  <si>
    <t>Oreochromis amphimelas</t>
  </si>
  <si>
    <t>Oreochromis andersonii</t>
  </si>
  <si>
    <t>Oreochromis andersonii x O. niloticus</t>
  </si>
  <si>
    <t>Oreochromis angolensis</t>
  </si>
  <si>
    <t>Oreochromis aureus</t>
  </si>
  <si>
    <t>Oreochromis aureus x O. niloticus</t>
  </si>
  <si>
    <t>Oreochromis chungruruensis</t>
  </si>
  <si>
    <t>Oreochromis esculentus</t>
  </si>
  <si>
    <t>Oreochromis hunteri</t>
  </si>
  <si>
    <t>Oreochromis jipe</t>
  </si>
  <si>
    <t>Oreochromis karomo</t>
  </si>
  <si>
    <t>Oreochromis karongae</t>
  </si>
  <si>
    <t>Oreochromis korogwe</t>
  </si>
  <si>
    <t>Oreochromis lepidurus</t>
  </si>
  <si>
    <t>Oreochromis leucostictus</t>
  </si>
  <si>
    <t>Oreochromis lidole</t>
  </si>
  <si>
    <t>Oreochromis macrochir</t>
  </si>
  <si>
    <t>Oreochromis malagarasi</t>
  </si>
  <si>
    <t>Oreochromis mortimeri</t>
  </si>
  <si>
    <t>Oreochromis mossambicus</t>
  </si>
  <si>
    <t>Oreochromis niloticus</t>
  </si>
  <si>
    <t>Oreochromis pangani</t>
  </si>
  <si>
    <t>Oreochromis placidus</t>
  </si>
  <si>
    <t>Oreochromis rukwaensis</t>
  </si>
  <si>
    <t>Oreochromis saka</t>
  </si>
  <si>
    <t>Oreochromis salinicola</t>
  </si>
  <si>
    <t>Oreochromis schwebischi</t>
  </si>
  <si>
    <t>Oreochromis shiranus</t>
  </si>
  <si>
    <t>Oreochromis sp.</t>
  </si>
  <si>
    <t>Oreochromis spilurus</t>
  </si>
  <si>
    <t>Oreochromis spp</t>
  </si>
  <si>
    <t>Oreochromis squamipinnis</t>
  </si>
  <si>
    <t>Oreochromis tanganicae</t>
  </si>
  <si>
    <t>Oreochromis upembae</t>
  </si>
  <si>
    <t>Oreochromis urolepis</t>
  </si>
  <si>
    <t>Oreochromis variabilis</t>
  </si>
  <si>
    <t>Osmundea pinnatifida</t>
  </si>
  <si>
    <t>Ostrea angasi</t>
  </si>
  <si>
    <t>Ostrea angelica</t>
  </si>
  <si>
    <t>Ostrea atherstonei</t>
  </si>
  <si>
    <t>Ostrea chilensis</t>
  </si>
  <si>
    <t>Ostrea conchaphila</t>
  </si>
  <si>
    <t>Ostrea denselamellosa</t>
  </si>
  <si>
    <t>Ostrea edulis</t>
  </si>
  <si>
    <t>Ostrea equestris</t>
  </si>
  <si>
    <t>Ostrea lurida</t>
  </si>
  <si>
    <t>Ostrea puelchana</t>
  </si>
  <si>
    <t>Ostrea spp</t>
  </si>
  <si>
    <t>Ostreidae</t>
  </si>
  <si>
    <t>Ostreola stentina</t>
  </si>
  <si>
    <t>Pagrus africanus</t>
  </si>
  <si>
    <t>Pagrus auratus</t>
  </si>
  <si>
    <t>Pagrus auriga</t>
  </si>
  <si>
    <t>Pagrus caeruleostictus</t>
  </si>
  <si>
    <t>Pagrus major</t>
  </si>
  <si>
    <t>Pagrus pagrus</t>
  </si>
  <si>
    <t>Pagrus spp</t>
  </si>
  <si>
    <t>Palliolum tigerinum</t>
  </si>
  <si>
    <t>Palmaria palmata</t>
  </si>
  <si>
    <t>Pangasianodon hypophthalmus</t>
  </si>
  <si>
    <t>Pangasius bocourti</t>
  </si>
  <si>
    <t>Pangasius djambal</t>
  </si>
  <si>
    <t>Pangasius gigas</t>
  </si>
  <si>
    <t>Pangasius larnaudii</t>
  </si>
  <si>
    <t>Pangasius micronemus</t>
  </si>
  <si>
    <t>Pangasius nasutus</t>
  </si>
  <si>
    <t>Pangasius pangasius</t>
  </si>
  <si>
    <t>Pangasius polyuranodon</t>
  </si>
  <si>
    <t>Pangasius sanitwongsei</t>
  </si>
  <si>
    <t>Pangasius spp</t>
  </si>
  <si>
    <t>Panopea generosa</t>
  </si>
  <si>
    <t>Panopea glycimeris</t>
  </si>
  <si>
    <t>Panopea spp</t>
  </si>
  <si>
    <t>Panopea zelandica</t>
  </si>
  <si>
    <t>Paphia gallus</t>
  </si>
  <si>
    <t>Paphia papilionacea</t>
  </si>
  <si>
    <t>Paphia semirugata</t>
  </si>
  <si>
    <t>Paphia spp</t>
  </si>
  <si>
    <t>Paphia textile</t>
  </si>
  <si>
    <t>Paphies australis</t>
  </si>
  <si>
    <t>Paphies spp</t>
  </si>
  <si>
    <t>Papyridea soleniformis</t>
  </si>
  <si>
    <t>Paralichthys adspersus</t>
  </si>
  <si>
    <t>Paralichthys albigutta</t>
  </si>
  <si>
    <t>Paralichthys brasiliensis</t>
  </si>
  <si>
    <t>Paralichthys californicus</t>
  </si>
  <si>
    <t>Paralichthys dentatus</t>
  </si>
  <si>
    <t>Paralichthys isosceles</t>
  </si>
  <si>
    <t>Paralichthys lethostigma</t>
  </si>
  <si>
    <t>Paralichthys oblongus</t>
  </si>
  <si>
    <t>Paralichthys olivaceus</t>
  </si>
  <si>
    <t>Paralichthys patagonicus</t>
  </si>
  <si>
    <t>Paralichthys spp</t>
  </si>
  <si>
    <t>Paralichthys tropicus</t>
  </si>
  <si>
    <t>Paralichthys woolmani</t>
  </si>
  <si>
    <t>Paratapes undulatus</t>
  </si>
  <si>
    <t>Patinopecten caurinus</t>
  </si>
  <si>
    <t>Pecten albicans</t>
  </si>
  <si>
    <t>Pecten berryi</t>
  </si>
  <si>
    <t>Pecten diegensis</t>
  </si>
  <si>
    <t>Pecten fumatus</t>
  </si>
  <si>
    <t>Pecten jacobaeus</t>
  </si>
  <si>
    <t>Pecten maximus</t>
  </si>
  <si>
    <t>Pecten modestus</t>
  </si>
  <si>
    <t>Pecten novaezelandiae</t>
  </si>
  <si>
    <t>Pecten sericeus</t>
  </si>
  <si>
    <t>Pecten sinensis</t>
  </si>
  <si>
    <t>Pecten spp</t>
  </si>
  <si>
    <t>Pecten sulcicostatus</t>
  </si>
  <si>
    <t>Pecten vogdesi</t>
  </si>
  <si>
    <t>Pecten ziczac</t>
  </si>
  <si>
    <t>Pectinidae</t>
  </si>
  <si>
    <t>Pelvetia canaliculata</t>
  </si>
  <si>
    <t>Penaeus aztecus</t>
  </si>
  <si>
    <t>Penaeus brasiliensis</t>
  </si>
  <si>
    <t>Penaeus brevirostris</t>
  </si>
  <si>
    <t>Penaeus californiensis</t>
  </si>
  <si>
    <t>Penaeus canaliculatus</t>
  </si>
  <si>
    <t>Penaeus chinensis</t>
  </si>
  <si>
    <t>Penaeus duorarum</t>
  </si>
  <si>
    <t>Penaeus esculentus</t>
  </si>
  <si>
    <t>Penaeus indicus</t>
  </si>
  <si>
    <t>Penaeus japonicus</t>
  </si>
  <si>
    <t>Penaeus kerathurus</t>
  </si>
  <si>
    <t>Penaeus latisulcatus</t>
  </si>
  <si>
    <t>Penaeus longistylus</t>
  </si>
  <si>
    <t>Penaeus marginatus</t>
  </si>
  <si>
    <t>Penaeus merguiensis</t>
  </si>
  <si>
    <t>Penaeus monodon</t>
  </si>
  <si>
    <t>Penaeus notialis</t>
  </si>
  <si>
    <t>Penaeus occidentalis</t>
  </si>
  <si>
    <t>Penaeus paulensis</t>
  </si>
  <si>
    <t>Penaeus penicillatus</t>
  </si>
  <si>
    <t>Penaeus plebejus</t>
  </si>
  <si>
    <t>Penaeus schmitti</t>
  </si>
  <si>
    <t>Penaeus semisulcatus</t>
  </si>
  <si>
    <t>Penaeus setiferus</t>
  </si>
  <si>
    <t>Penaeus silasi</t>
  </si>
  <si>
    <t>Penaeus spp</t>
  </si>
  <si>
    <t>Penaeus stylirostris</t>
  </si>
  <si>
    <t>Penaeus subtilis</t>
  </si>
  <si>
    <t>Penaeus vannamei</t>
  </si>
  <si>
    <t>Periglypta clathrata</t>
  </si>
  <si>
    <t>Periglypta listeri</t>
  </si>
  <si>
    <t>Periglypta multicostata</t>
  </si>
  <si>
    <t>Periglypta puerpera</t>
  </si>
  <si>
    <t>Periglypta reticulata</t>
  </si>
  <si>
    <t>Perna canaliculus</t>
  </si>
  <si>
    <t>Perna indica</t>
  </si>
  <si>
    <t>Perna perna</t>
  </si>
  <si>
    <t>Perna picta</t>
  </si>
  <si>
    <t>Perna spp</t>
  </si>
  <si>
    <t>Perna viridis</t>
  </si>
  <si>
    <t>Peronaea planata</t>
  </si>
  <si>
    <t>Petalonia fascia</t>
  </si>
  <si>
    <t>Petricola spp</t>
  </si>
  <si>
    <t>Petricolaria pholadiformis</t>
  </si>
  <si>
    <t>Phacoides pectinatus</t>
  </si>
  <si>
    <t>Phaeophyceae</t>
  </si>
  <si>
    <t>Pharella acutidens</t>
  </si>
  <si>
    <t>Pharella javanica</t>
  </si>
  <si>
    <t>Pharus legumen</t>
  </si>
  <si>
    <t>Pholas chiloensis</t>
  </si>
  <si>
    <t>Pholas dactylus</t>
  </si>
  <si>
    <t>Pholas orientalis</t>
  </si>
  <si>
    <t>Pholas spp</t>
  </si>
  <si>
    <t>Phycodrys rubens</t>
  </si>
  <si>
    <t>Phyllophora pseudoceranoides</t>
  </si>
  <si>
    <t>Phyllophora spp</t>
  </si>
  <si>
    <t>Phymatolithon calcareum</t>
  </si>
  <si>
    <t>Phymatolithon lenormandii</t>
  </si>
  <si>
    <t>Pinctada anomioides</t>
  </si>
  <si>
    <t>Pinctada capensis</t>
  </si>
  <si>
    <t>Pinctada chemnitzii</t>
  </si>
  <si>
    <t>Pinctada fucata</t>
  </si>
  <si>
    <t>Pinctada imbricata</t>
  </si>
  <si>
    <t>Pinctada maculata</t>
  </si>
  <si>
    <t>Pinctada margaritifera</t>
  </si>
  <si>
    <t>Pinctada maxima</t>
  </si>
  <si>
    <t>Pinctada mazatlanica</t>
  </si>
  <si>
    <t>Pinctada radiata</t>
  </si>
  <si>
    <t>Pinctada spp</t>
  </si>
  <si>
    <t>Pinctada sugillata</t>
  </si>
  <si>
    <t>Pinna bicolor</t>
  </si>
  <si>
    <t>Pinna muricata</t>
  </si>
  <si>
    <t>Pinna nobilis</t>
  </si>
  <si>
    <t>Pinna rudis</t>
  </si>
  <si>
    <t>Pinna rugosa</t>
  </si>
  <si>
    <t>Pinna spp</t>
  </si>
  <si>
    <t>Pitar callicomatus</t>
  </si>
  <si>
    <t>Pitar citrinus</t>
  </si>
  <si>
    <t>Pitar dione</t>
  </si>
  <si>
    <t>Pitar fulminatus</t>
  </si>
  <si>
    <t>Pitar pellucidus</t>
  </si>
  <si>
    <t>Pitar rostratus</t>
  </si>
  <si>
    <t>Pitar rudis</t>
  </si>
  <si>
    <t>Pitar spp</t>
  </si>
  <si>
    <t>Pitar tumens</t>
  </si>
  <si>
    <t>Pitar unicolor</t>
  </si>
  <si>
    <t>Placamen tiara</t>
  </si>
  <si>
    <t>Placopecten magellanicus</t>
  </si>
  <si>
    <t>Placuna ephippium</t>
  </si>
  <si>
    <t>Placuna placenta</t>
  </si>
  <si>
    <t>Plagiocardium pseudolatum</t>
  </si>
  <si>
    <t>Plantae aquaticae</t>
  </si>
  <si>
    <t>Plectropomus areolatus</t>
  </si>
  <si>
    <t>Plectropomus laevis</t>
  </si>
  <si>
    <t>Plectropomus leopardus</t>
  </si>
  <si>
    <t>Plectropomus maculatus</t>
  </si>
  <si>
    <t>Plectropomus oligacanthus</t>
  </si>
  <si>
    <t>Plectropomus pessuliferus</t>
  </si>
  <si>
    <t>Plectropomus punctatus</t>
  </si>
  <si>
    <t>Plectropomus spp</t>
  </si>
  <si>
    <t>Pleurobema cordatum</t>
  </si>
  <si>
    <t>Plocamium cartilagineum</t>
  </si>
  <si>
    <t>Pododesmus cepio</t>
  </si>
  <si>
    <t>Pododesmus patelliformis</t>
  </si>
  <si>
    <t>Pododesmus spp</t>
  </si>
  <si>
    <t>Polititapes aureus</t>
  </si>
  <si>
    <t>Polititapes durus</t>
  </si>
  <si>
    <t>Polititapes rhomboides</t>
  </si>
  <si>
    <t>Polymesoda aequilatera</t>
  </si>
  <si>
    <t>Polymesoda arctata</t>
  </si>
  <si>
    <t>Polymesoda bengalensis</t>
  </si>
  <si>
    <t>Polymesoda caroliniana</t>
  </si>
  <si>
    <t>Polymesoda erosa</t>
  </si>
  <si>
    <t>Polymesoda expansa</t>
  </si>
  <si>
    <t>Polymesoda inflata</t>
  </si>
  <si>
    <t>Polymesoda spp</t>
  </si>
  <si>
    <t>Polymesoda triangula</t>
  </si>
  <si>
    <t>Polysiphonia stricta</t>
  </si>
  <si>
    <t>Porphyra columbina</t>
  </si>
  <si>
    <t>Porphyra dioica</t>
  </si>
  <si>
    <t>Porphyra haitanensis</t>
  </si>
  <si>
    <t>Porphyra laciniata</t>
  </si>
  <si>
    <t>Porphyra leucosticta</t>
  </si>
  <si>
    <t>Porphyra linearis</t>
  </si>
  <si>
    <t>Porphyra perforata</t>
  </si>
  <si>
    <t>Porphyra purpurea</t>
  </si>
  <si>
    <t>Porphyra spp</t>
  </si>
  <si>
    <t>Porphyra umbilicalis</t>
  </si>
  <si>
    <t>Portieria hornemannii</t>
  </si>
  <si>
    <t>Posidonia angustifolia</t>
  </si>
  <si>
    <t>Posidonia australis</t>
  </si>
  <si>
    <t>Posidonia oceanica</t>
  </si>
  <si>
    <t>Potamocorbula fasciata</t>
  </si>
  <si>
    <t>Procambarus acutus</t>
  </si>
  <si>
    <t>Procambarus alleni</t>
  </si>
  <si>
    <t>Procambarus bivitattus</t>
  </si>
  <si>
    <t>Procambarus clarkii</t>
  </si>
  <si>
    <t>Procambarus fallax</t>
  </si>
  <si>
    <t>Procambarus hayi</t>
  </si>
  <si>
    <t>Procambarus hirsutus</t>
  </si>
  <si>
    <t>Procambarus spp</t>
  </si>
  <si>
    <t>Procambarus troglogytes</t>
  </si>
  <si>
    <t>Protothaca asperrima</t>
  </si>
  <si>
    <t>Protothaca columbiensis</t>
  </si>
  <si>
    <t>Protothaca grata</t>
  </si>
  <si>
    <t>Protothaca pectorina</t>
  </si>
  <si>
    <t>Protothaca staminea</t>
  </si>
  <si>
    <t>Protothaca tenerrima</t>
  </si>
  <si>
    <t>Pseudamussium clavatum</t>
  </si>
  <si>
    <t>Pseudamussium peslutrae</t>
  </si>
  <si>
    <t>Pseudocardium sybillae</t>
  </si>
  <si>
    <t>Pseudopleuronectes americanus</t>
  </si>
  <si>
    <t>Pseudopleuronectes herzenst.</t>
  </si>
  <si>
    <t>Pseudopleuronectes obscurus</t>
  </si>
  <si>
    <t>Pseudopleuronectes yokohamae</t>
  </si>
  <si>
    <t>Pteria avicular</t>
  </si>
  <si>
    <t>Pteria hirundo</t>
  </si>
  <si>
    <t>Pteria penguin</t>
  </si>
  <si>
    <t>Pteria spp</t>
  </si>
  <si>
    <t>Pteria sterna</t>
  </si>
  <si>
    <t>Pterocladia heteroplatos</t>
  </si>
  <si>
    <t>Pterocladia lucida</t>
  </si>
  <si>
    <t>Pterocladia nana</t>
  </si>
  <si>
    <t>Pterocladiella caerulescens</t>
  </si>
  <si>
    <t>Pterocladiella capillacea</t>
  </si>
  <si>
    <t>Pterothamnion plumula</t>
  </si>
  <si>
    <t>Ptilonia magellanica</t>
  </si>
  <si>
    <t>Pygadon grandis</t>
  </si>
  <si>
    <t>Pyropia dentata</t>
  </si>
  <si>
    <t>Pyropia seriata</t>
  </si>
  <si>
    <t>Pyropia tenera</t>
  </si>
  <si>
    <t>Pyropia yezoensis</t>
  </si>
  <si>
    <t>Rachycentron canadum</t>
  </si>
  <si>
    <t>Ralfsia verrucosa</t>
  </si>
  <si>
    <t>Rangia cuneata</t>
  </si>
  <si>
    <t>Rangia mendica</t>
  </si>
  <si>
    <t>Rangia spp</t>
  </si>
  <si>
    <t>Rhizoclonium riparium</t>
  </si>
  <si>
    <t>Rhodomela confervoides</t>
  </si>
  <si>
    <t>Rhodophyta</t>
  </si>
  <si>
    <t>Rissoella verruculosa</t>
  </si>
  <si>
    <t>Ruditapes decussatus</t>
  </si>
  <si>
    <t>Ruditapes philippinarum</t>
  </si>
  <si>
    <t>Ruditapes spp</t>
  </si>
  <si>
    <t>Ruditapes variegatus</t>
  </si>
  <si>
    <t>Saccharina japonica</t>
  </si>
  <si>
    <t>Saccharina latissima</t>
  </si>
  <si>
    <t>Saccharina longissima</t>
  </si>
  <si>
    <t>Saccorhiza dermatodea</t>
  </si>
  <si>
    <t>Saccorhiza polyschides</t>
  </si>
  <si>
    <t>Saccostrea cuccullata</t>
  </si>
  <si>
    <t>Saccostrea echinata</t>
  </si>
  <si>
    <t>Saccostrea glomerata</t>
  </si>
  <si>
    <t>Saccostrea kegaki</t>
  </si>
  <si>
    <t>Saccostrea malabonensis</t>
  </si>
  <si>
    <t>Saccostrea mordax</t>
  </si>
  <si>
    <t>Saccostrea palmula</t>
  </si>
  <si>
    <t>Saccostrea spp</t>
  </si>
  <si>
    <t>Salmo carpio</t>
  </si>
  <si>
    <t>Salmo ferox</t>
  </si>
  <si>
    <t>Salmo fibreni</t>
  </si>
  <si>
    <t>Salmo ischchan</t>
  </si>
  <si>
    <t>Salmo letnica</t>
  </si>
  <si>
    <t>Salmo marmoratus</t>
  </si>
  <si>
    <t>Salmo ohridanus</t>
  </si>
  <si>
    <t>Salmo salar</t>
  </si>
  <si>
    <t>Salmo spp</t>
  </si>
  <si>
    <t>Salmo trutta</t>
  </si>
  <si>
    <t>Salvelinus alpinus</t>
  </si>
  <si>
    <t>Salvelinus confluentus</t>
  </si>
  <si>
    <t>Salvelinus fontinalis</t>
  </si>
  <si>
    <t>Salvelinus leucomaenis</t>
  </si>
  <si>
    <t>Salvelinus malma</t>
  </si>
  <si>
    <t>Salvelinus namaycush</t>
  </si>
  <si>
    <t>Salvelinus neiva</t>
  </si>
  <si>
    <t>Salvelinus profundus</t>
  </si>
  <si>
    <t>Salvelinus spp</t>
  </si>
  <si>
    <t>Salvelinus umbla</t>
  </si>
  <si>
    <t>Salvelinus willoughbii</t>
  </si>
  <si>
    <t>Sander lucioperca</t>
  </si>
  <si>
    <t>Sanguinolaria cruenta</t>
  </si>
  <si>
    <t>Sanguinolaria spp</t>
  </si>
  <si>
    <t>Sarcodia dentata</t>
  </si>
  <si>
    <t>Sarcothalia crispata</t>
  </si>
  <si>
    <t>Sargassum crassifolium</t>
  </si>
  <si>
    <t>Sargassum cristaefolium</t>
  </si>
  <si>
    <t>Sargassum fusiforme</t>
  </si>
  <si>
    <t>Sargassum muticum</t>
  </si>
  <si>
    <t>Sargassum oligocystum</t>
  </si>
  <si>
    <t>Sargassum paniculatum</t>
  </si>
  <si>
    <t>Sargassum polycystum</t>
  </si>
  <si>
    <t>Sargassum spp</t>
  </si>
  <si>
    <t>Sargassum thunbergii</t>
  </si>
  <si>
    <t>Sargassum vulgare</t>
  </si>
  <si>
    <t>Saxidomus giganteus</t>
  </si>
  <si>
    <t>Saxidomus nuttalli</t>
  </si>
  <si>
    <t>Saxidomus purpurata</t>
  </si>
  <si>
    <t>Saxidomus spp</t>
  </si>
  <si>
    <t>Scapharca biangulata</t>
  </si>
  <si>
    <t>Scapharca brasiliana</t>
  </si>
  <si>
    <t>Scapharca broughtonii</t>
  </si>
  <si>
    <t>Scapharca chemnitzii</t>
  </si>
  <si>
    <t>Scapharca cornea</t>
  </si>
  <si>
    <t>Scapharca globosa</t>
  </si>
  <si>
    <t>Scapharca indica</t>
  </si>
  <si>
    <t>Scapharca pilula</t>
  </si>
  <si>
    <t>Scapharca spp</t>
  </si>
  <si>
    <t>Scapharca subcrenata</t>
  </si>
  <si>
    <t>Schizochytrium spp.</t>
  </si>
  <si>
    <t>Scinaia hormoides</t>
  </si>
  <si>
    <t>Scirpus acutus</t>
  </si>
  <si>
    <t>Scirpus spp</t>
  </si>
  <si>
    <t>Scophthalmus aquosus</t>
  </si>
  <si>
    <t>Scophthalmus maximus</t>
  </si>
  <si>
    <t>Scophthalmus rhombus</t>
  </si>
  <si>
    <t>Scrobicularia plana</t>
  </si>
  <si>
    <t>Semele decisa</t>
  </si>
  <si>
    <t>Semele radiata</t>
  </si>
  <si>
    <t>Semele solida</t>
  </si>
  <si>
    <t>Semele spp</t>
  </si>
  <si>
    <t>Semimytilus algosus</t>
  </si>
  <si>
    <t>Senilia senilis</t>
  </si>
  <si>
    <t>Septifer bilocularis</t>
  </si>
  <si>
    <t>Seriola carpenteri</t>
  </si>
  <si>
    <t>Seriola dumerili</t>
  </si>
  <si>
    <t>Seriola fasciata</t>
  </si>
  <si>
    <t>Seriola hippos</t>
  </si>
  <si>
    <t>Seriola lalandi</t>
  </si>
  <si>
    <t>Seriola peruana</t>
  </si>
  <si>
    <t>Seriola quinqueradiata</t>
  </si>
  <si>
    <t>Seriola rivoliana</t>
  </si>
  <si>
    <t>Seriola spp</t>
  </si>
  <si>
    <t>Seriola zonata</t>
  </si>
  <si>
    <t>Serripes groenlandicus</t>
  </si>
  <si>
    <t>Siliqua alta</t>
  </si>
  <si>
    <t>Siliqua patula</t>
  </si>
  <si>
    <t>Siliqua radiata</t>
  </si>
  <si>
    <t>Siliqua spp</t>
  </si>
  <si>
    <t>Siliqua winteriana</t>
  </si>
  <si>
    <t>Silvetia siliquosa</t>
  </si>
  <si>
    <t>Sinanodonta woodiana</t>
  </si>
  <si>
    <t>Sinonovacula constricta</t>
  </si>
  <si>
    <t>Skeletonema costatum</t>
  </si>
  <si>
    <t>Solecurtus divaricatus</t>
  </si>
  <si>
    <t>Solecurtus spp</t>
  </si>
  <si>
    <t>Solecurtus strigilatus</t>
  </si>
  <si>
    <t>Solen capensis</t>
  </si>
  <si>
    <t>Solen cylindraceus</t>
  </si>
  <si>
    <t>Solen gordonis</t>
  </si>
  <si>
    <t>Solen grandis</t>
  </si>
  <si>
    <t>Solen guineensis</t>
  </si>
  <si>
    <t>Solen kempi</t>
  </si>
  <si>
    <t>Solen lamarckii</t>
  </si>
  <si>
    <t>Solen malaccensis</t>
  </si>
  <si>
    <t>Solen marginatus</t>
  </si>
  <si>
    <t>Solen roseomaculatus</t>
  </si>
  <si>
    <t>Solen rostriformis</t>
  </si>
  <si>
    <t>Solen rudis</t>
  </si>
  <si>
    <t>Solen spp</t>
  </si>
  <si>
    <t>Solen strictus</t>
  </si>
  <si>
    <t>Solenidae</t>
  </si>
  <si>
    <t>Soletellina diphos</t>
  </si>
  <si>
    <t>Solieria chordalis</t>
  </si>
  <si>
    <t>Solieria filiformis</t>
  </si>
  <si>
    <t>Sparus aurata</t>
  </si>
  <si>
    <t>Sphacelaria cirrosa</t>
  </si>
  <si>
    <t>Sphaerococcus coronopifolius</t>
  </si>
  <si>
    <t>Spirulina maxima</t>
  </si>
  <si>
    <t>Spirulina spp</t>
  </si>
  <si>
    <t>Spirulina subsalsa</t>
  </si>
  <si>
    <t>Spisula aequilatera</t>
  </si>
  <si>
    <t>Spisula elliptica</t>
  </si>
  <si>
    <t>Spisula polynyma</t>
  </si>
  <si>
    <t>Spisula solida</t>
  </si>
  <si>
    <t>Spisula solidissima</t>
  </si>
  <si>
    <t>Spisula spp</t>
  </si>
  <si>
    <t>Spisula subtruncata</t>
  </si>
  <si>
    <t>Spondylus americanus</t>
  </si>
  <si>
    <t>Spondylus barbatus</t>
  </si>
  <si>
    <t>Spondylus butleri</t>
  </si>
  <si>
    <t>Spondylus calcifer</t>
  </si>
  <si>
    <t>Spondylus gaederopus</t>
  </si>
  <si>
    <t>Spondylus ictericus</t>
  </si>
  <si>
    <t>Spondylus imperialis</t>
  </si>
  <si>
    <t>Spondylus lamarckii</t>
  </si>
  <si>
    <t>Spondylus princeps</t>
  </si>
  <si>
    <t>Spondylus spp</t>
  </si>
  <si>
    <t>Spondylus squamosus</t>
  </si>
  <si>
    <t>Spondylus versicolor</t>
  </si>
  <si>
    <t>Stavelia subdistorta</t>
  </si>
  <si>
    <t>Striostrea denticulata</t>
  </si>
  <si>
    <t>Striostrea margaritacea</t>
  </si>
  <si>
    <t>Striostrea prismatica</t>
  </si>
  <si>
    <t>Sunetta menstrualis</t>
  </si>
  <si>
    <t>Sunetta truncata</t>
  </si>
  <si>
    <t>Swiftopecten swiftii</t>
  </si>
  <si>
    <t>Tagelus adansonii</t>
  </si>
  <si>
    <t>Tagelus californianus</t>
  </si>
  <si>
    <t>Tagelus dombeii</t>
  </si>
  <si>
    <t>Tagelus peruvianus</t>
  </si>
  <si>
    <t>Tagelus plebeius</t>
  </si>
  <si>
    <t>Tagelus spp</t>
  </si>
  <si>
    <t>Talona explanata</t>
  </si>
  <si>
    <t>Tapes belcheri</t>
  </si>
  <si>
    <t>Tapes dorsatus</t>
  </si>
  <si>
    <t>Tapes literatus</t>
  </si>
  <si>
    <t>Tawera gayi</t>
  </si>
  <si>
    <t>Tegillarca granosa</t>
  </si>
  <si>
    <t>Tellina albicans</t>
  </si>
  <si>
    <t>Tellina alternata</t>
  </si>
  <si>
    <t>Tellina foliacea</t>
  </si>
  <si>
    <t>Tellina hyalina</t>
  </si>
  <si>
    <t>Tellina laceridens</t>
  </si>
  <si>
    <t>Tellina linguafelis</t>
  </si>
  <si>
    <t>Tellina palatam</t>
  </si>
  <si>
    <t>Tellina remies</t>
  </si>
  <si>
    <t>Tellina scobinata</t>
  </si>
  <si>
    <t>Tellina senegambiensis</t>
  </si>
  <si>
    <t>Tellina simulans</t>
  </si>
  <si>
    <t>Tellina spp</t>
  </si>
  <si>
    <t>Tellina staurella</t>
  </si>
  <si>
    <t>Tellina strigosa</t>
  </si>
  <si>
    <t>Tellina timorensis</t>
  </si>
  <si>
    <t>Tellina virgata</t>
  </si>
  <si>
    <t>Tetraselmis chui</t>
  </si>
  <si>
    <t>Tetraselmis spp</t>
  </si>
  <si>
    <t>Tetraselmis suecica</t>
  </si>
  <si>
    <t>Thracia phaseolina</t>
  </si>
  <si>
    <t>Thracia pubescens</t>
  </si>
  <si>
    <t>Thymallus arcticus</t>
  </si>
  <si>
    <t>Thymallus brevirostris</t>
  </si>
  <si>
    <t>Thymallus thymallus</t>
  </si>
  <si>
    <t>Tilapia bakossiorum</t>
  </si>
  <si>
    <t>Tilapia baloni</t>
  </si>
  <si>
    <t>Tilapia bemini</t>
  </si>
  <si>
    <t>Tilapia bilineata</t>
  </si>
  <si>
    <t>Tilapia brevimanus</t>
  </si>
  <si>
    <t>Tilapia busumana</t>
  </si>
  <si>
    <t>Tilapia buttikoferi</t>
  </si>
  <si>
    <t>Tilapia bythobates</t>
  </si>
  <si>
    <t>Tilapia cabrae</t>
  </si>
  <si>
    <t>Tilapia cameronensis</t>
  </si>
  <si>
    <t>Tilapia camerunensis</t>
  </si>
  <si>
    <t>Tilapia cessiana</t>
  </si>
  <si>
    <t>Tilapia coffea</t>
  </si>
  <si>
    <t>Tilapia congica</t>
  </si>
  <si>
    <t>Tilapia dageti</t>
  </si>
  <si>
    <t>Tilapia deckerti</t>
  </si>
  <si>
    <t>Tilapia discolor</t>
  </si>
  <si>
    <t>Tilapia flava</t>
  </si>
  <si>
    <t>Tilapia guinasana</t>
  </si>
  <si>
    <t>Tilapia guineensis</t>
  </si>
  <si>
    <t>Tilapia gutturosa</t>
  </si>
  <si>
    <t>Tilapia imbriferna</t>
  </si>
  <si>
    <t>Tilapia joka</t>
  </si>
  <si>
    <t>Tilapia kottae</t>
  </si>
  <si>
    <t>Tilapia louka</t>
  </si>
  <si>
    <t>Tilapia margaritacea</t>
  </si>
  <si>
    <t>Tilapia mariae</t>
  </si>
  <si>
    <t>Tilapia nyongana</t>
  </si>
  <si>
    <t>Tilapia rheophila</t>
  </si>
  <si>
    <t>Tilapia ruweti</t>
  </si>
  <si>
    <t>Tilapia snyderae</t>
  </si>
  <si>
    <t>Tilapia sparrmanii</t>
  </si>
  <si>
    <t>Tilapia spongotroktis</t>
  </si>
  <si>
    <t>Tilapia tholloni</t>
  </si>
  <si>
    <t>Tilapia thysi</t>
  </si>
  <si>
    <t>Tilapia walteri</t>
  </si>
  <si>
    <t>Tilapia zillii</t>
  </si>
  <si>
    <t>Timoclea ovata</t>
  </si>
  <si>
    <t>Tivela byronensis</t>
  </si>
  <si>
    <t>Tivela hians</t>
  </si>
  <si>
    <t>Tivela lessonii</t>
  </si>
  <si>
    <t>Tivela mactroides</t>
  </si>
  <si>
    <t>Tivela planulata</t>
  </si>
  <si>
    <t>Tivela spp</t>
  </si>
  <si>
    <t>Tivela stultorum</t>
  </si>
  <si>
    <t>Tivela tripla</t>
  </si>
  <si>
    <t>Tivela ventricosa</t>
  </si>
  <si>
    <t>Trachinotus africanus</t>
  </si>
  <si>
    <t>Trachinotus anak</t>
  </si>
  <si>
    <t>Trachinotus baillonii</t>
  </si>
  <si>
    <t>Trachinotus blochii</t>
  </si>
  <si>
    <t>Trachinotus botla</t>
  </si>
  <si>
    <t>Trachinotus carolinus</t>
  </si>
  <si>
    <t>Trachinotus cayennensis</t>
  </si>
  <si>
    <t>Trachinotus coppingeri</t>
  </si>
  <si>
    <t>Trachinotus falcatus</t>
  </si>
  <si>
    <t>Trachinotus goodei</t>
  </si>
  <si>
    <t>Trachinotus goreensis</t>
  </si>
  <si>
    <t>Trachinotus kennedyi</t>
  </si>
  <si>
    <t>Trachinotus marginatus</t>
  </si>
  <si>
    <t>Trachinotus maxillosus</t>
  </si>
  <si>
    <t>Trachinotus mookalee</t>
  </si>
  <si>
    <t>Trachinotus ovatus</t>
  </si>
  <si>
    <t>Trachinotus paitensis</t>
  </si>
  <si>
    <t>Trachinotus rhodopus</t>
  </si>
  <si>
    <t>Trachinotus spp</t>
  </si>
  <si>
    <t>Trachinotus stilbe</t>
  </si>
  <si>
    <t>Trachinotus teraia</t>
  </si>
  <si>
    <t>Trachycardium angulatum</t>
  </si>
  <si>
    <t>Trachycardium consors</t>
  </si>
  <si>
    <t>Trachycardium egmontianum</t>
  </si>
  <si>
    <t>Trachycardium isocardia</t>
  </si>
  <si>
    <t>Trachycardium muricatum</t>
  </si>
  <si>
    <t>Trachycardium orbita</t>
  </si>
  <si>
    <t>Trachycardium panamense</t>
  </si>
  <si>
    <t>Trachycardium procerum</t>
  </si>
  <si>
    <t>Trachycardium quadragenarium</t>
  </si>
  <si>
    <t>Trachycardium rubicundum</t>
  </si>
  <si>
    <t>Trachycardium rugosum</t>
  </si>
  <si>
    <t>Trachycardium spp</t>
  </si>
  <si>
    <t>Trachycardium subrugosum</t>
  </si>
  <si>
    <t>Transennella pannosa</t>
  </si>
  <si>
    <t>Treptacantha baccata</t>
  </si>
  <si>
    <t>Tresus capax</t>
  </si>
  <si>
    <t>Tresus keenae</t>
  </si>
  <si>
    <t>Tresus nuttallii</t>
  </si>
  <si>
    <t>Tresus spp</t>
  </si>
  <si>
    <t>Tridacna crocea</t>
  </si>
  <si>
    <t>Tridacna derasa</t>
  </si>
  <si>
    <t>Tridacna gigas</t>
  </si>
  <si>
    <t>Tridacna maxima</t>
  </si>
  <si>
    <t>Tridacna spp</t>
  </si>
  <si>
    <t>Tridacna squamosa</t>
  </si>
  <si>
    <t>Trisidos semitorta</t>
  </si>
  <si>
    <t>Trisidos tortuosa</t>
  </si>
  <si>
    <t>Tucetona pectunculus</t>
  </si>
  <si>
    <t>Tucetona strigilata</t>
  </si>
  <si>
    <t>Turbinaria conoides</t>
  </si>
  <si>
    <t>Turbinaria decurrens</t>
  </si>
  <si>
    <t>Turbinaria ornata</t>
  </si>
  <si>
    <t>Turtonia minuta</t>
  </si>
  <si>
    <t>Ulva australis</t>
  </si>
  <si>
    <t>Ulva clathrata</t>
  </si>
  <si>
    <t>Ulva compressa</t>
  </si>
  <si>
    <t>Ulva conglobata</t>
  </si>
  <si>
    <t>Ulva flexuosa</t>
  </si>
  <si>
    <t>Ulva intestinalis</t>
  </si>
  <si>
    <t>Ulva lactuca</t>
  </si>
  <si>
    <t>Ulva linza</t>
  </si>
  <si>
    <t>Ulva prolifera</t>
  </si>
  <si>
    <t>Ulva pseudorotundata</t>
  </si>
  <si>
    <t>Ulva reticulata</t>
  </si>
  <si>
    <t>Ulva rigida</t>
  </si>
  <si>
    <t>Ulva spp</t>
  </si>
  <si>
    <t>Undaria pinnatifida</t>
  </si>
  <si>
    <t>Undaria spp</t>
  </si>
  <si>
    <t>Undulostrea megodon</t>
  </si>
  <si>
    <t>Varicorbula gibba</t>
  </si>
  <si>
    <t>Veneridae</t>
  </si>
  <si>
    <t>Venerupis corrugata</t>
  </si>
  <si>
    <t>Venerupis spp</t>
  </si>
  <si>
    <t>Ventricolaria isocardia</t>
  </si>
  <si>
    <t>Ventricolaria rigida</t>
  </si>
  <si>
    <t>Venus casina</t>
  </si>
  <si>
    <t>Venus foliaceolamellosa</t>
  </si>
  <si>
    <t>Venus nux</t>
  </si>
  <si>
    <t>Venus spp</t>
  </si>
  <si>
    <t>Venus verrucosa</t>
  </si>
  <si>
    <t>Vepricardium asiaticum</t>
  </si>
  <si>
    <t>Vepricardium sinense</t>
  </si>
  <si>
    <t>Vertebrata byssoides</t>
  </si>
  <si>
    <t>Vertebrata fucoides</t>
  </si>
  <si>
    <t>Vertebrata lanosa</t>
  </si>
  <si>
    <t>Vertebrata nigra</t>
  </si>
  <si>
    <t>Villorita cyprinoides</t>
  </si>
  <si>
    <t>Villosa iris</t>
  </si>
  <si>
    <t>Volachlamys singaporina</t>
  </si>
  <si>
    <t>Zostera marina</t>
  </si>
  <si>
    <t>Zostera noltii</t>
  </si>
  <si>
    <t>Zygochlamys delicatula</t>
  </si>
  <si>
    <t>Zygochlamys patagonica</t>
  </si>
  <si>
    <t>2.6</t>
  </si>
  <si>
    <t>2.11</t>
  </si>
  <si>
    <t>TABLE 5. Level 1 and 2 - Abiotic impact - Benthic status</t>
  </si>
  <si>
    <t>TABLE 4. Level 1 and 2 - Abiotic impact - EQS score and EQS category by sampling zone</t>
  </si>
  <si>
    <t>TABLE 4. Level 3 - Biotic impact - Benthic status</t>
  </si>
  <si>
    <t>TABLE 1. Level 1 - Abiotic impact - Data entry</t>
  </si>
  <si>
    <t>TABLE 2. Level 2 - Abiotic impact - Data entry</t>
  </si>
  <si>
    <t>TABLE 3. Level 1 and 2 - Abiotic impact - Average values and EQS category and score organized per EQS sampling zone and indicator</t>
  </si>
  <si>
    <t>TABLE 1. Level 3 - Biotic impact - Data entry</t>
  </si>
  <si>
    <t>TABLE 2. Level 3 - Biotic impact - Average values and EQS category and score organized per EQS sampling zone and indicator</t>
  </si>
  <si>
    <t>TABLE 3. Level 3 - Biotic impact - - Biotic impact - EQS classification per sampling zone</t>
  </si>
  <si>
    <t>TABLE 3. Level 1 and 2 - Abiotic impact - Average values and EQS category organized per EQS sampling zone and indicator</t>
  </si>
  <si>
    <t>TABLE 2. Level 3 - Biotic impact - Average values and EQS category organized per EQS sampling zone and indicator</t>
  </si>
  <si>
    <t>TABLE 4. Feed efficiencies per species</t>
  </si>
  <si>
    <t>TABLE 2. Feed use reporting per species</t>
  </si>
  <si>
    <t>TABLE 2. Known escapes per species</t>
  </si>
  <si>
    <t>TABLE 2. Mortality rate per species</t>
  </si>
  <si>
    <t>TABLE 2. Calculated antibiotic load per species</t>
  </si>
  <si>
    <t>Sea lice - Sea lice monitoring</t>
  </si>
  <si>
    <t>Reporting overview</t>
  </si>
  <si>
    <t>TABLE 3. Calculated parasiticide load for each active component (agent) per species per cycle</t>
  </si>
  <si>
    <t xml:space="preserve">UPLOAD
When uploading the completed template (in Excel format) to the ASC Data Submission Portal (in MyASC, https://myasc.asc-aqua.org/), each CH must ensure that the correct site within the Unit of Certification (UoC) reported in template is selected in MyASC. This step confirms that the data submission is correctly linked to the appropriate site.
</t>
  </si>
  <si>
    <t>Feed - Feed properties, feed use and feed efficiencies</t>
  </si>
  <si>
    <t>Veterinary therapeutants - Antimicrobial use and antibiotic load</t>
  </si>
  <si>
    <r>
      <t>DATA SUBMISSION TEMPLATE
FARM STANDARD - PRODUCTION DATA -</t>
    </r>
    <r>
      <rPr>
        <b/>
        <sz val="11"/>
        <color theme="0" tint="-0.499984740745262"/>
        <rFont val="Montserrat"/>
      </rPr>
      <t xml:space="preserve"> ALL-IN ALL-OUT PRODUCTION
</t>
    </r>
    <r>
      <rPr>
        <b/>
        <sz val="11"/>
        <rFont val="Montserrat"/>
      </rPr>
      <t xml:space="preserve">
INSTRUCTIONS
</t>
    </r>
    <r>
      <rPr>
        <sz val="11"/>
        <rFont val="Montserrat"/>
      </rPr>
      <t>DATA COVERAGE AND SUBMISSION FREQUENCY</t>
    </r>
    <r>
      <rPr>
        <b/>
        <sz val="11"/>
        <rFont val="Montserrat"/>
      </rPr>
      <t xml:space="preserve">
</t>
    </r>
    <r>
      <rPr>
        <sz val="11"/>
        <rFont val="Montserrat"/>
      </rPr>
      <t xml:space="preserve">Each ASC Certificate Holder (CH) shall report data for each </t>
    </r>
    <r>
      <rPr>
        <i/>
        <sz val="11"/>
        <rFont val="Montserrat"/>
      </rPr>
      <t xml:space="preserve">certified </t>
    </r>
    <r>
      <rPr>
        <sz val="11"/>
        <rFont val="Montserrat"/>
      </rPr>
      <t xml:space="preserve">and </t>
    </r>
    <r>
      <rPr>
        <i/>
        <sz val="11"/>
        <rFont val="Montserrat"/>
      </rPr>
      <t>suspended</t>
    </r>
    <r>
      <rPr>
        <sz val="11"/>
        <rFont val="Montserrat"/>
      </rPr>
      <t xml:space="preserve"> site. </t>
    </r>
    <r>
      <rPr>
        <sz val="11"/>
        <color theme="1"/>
        <rFont val="Montserrat"/>
      </rPr>
      <t xml:space="preserve">Production data shall be submitted after each year with finished production cycles or harvests (the 'reporting year'), within one month after the end of the reporting year (before the 31st of January). For example, data for all finished production cycles in 2025 shall be reported to ASC before January 31st, 2026.
The ASC Farm Standard Production Data template  shall cover data regarding the entire production period of all finished production cycles (or harvested production) in the reporting year at the site.
- This means for sites that are not annualy harvesting, for example those that produce species with a production cycle length exceeding one year (e.g. various salmonids) or have fallow periods, there may be years with no reporting requirements for Production data;
- This means for sites that are annually harvesting there is an annual reporting requirement for Production data (e.g. shrimp).
</t>
    </r>
    <r>
      <rPr>
        <b/>
        <sz val="11"/>
        <color theme="1"/>
        <rFont val="Montserrat"/>
      </rPr>
      <t xml:space="preserve">
</t>
    </r>
    <r>
      <rPr>
        <sz val="11"/>
        <color theme="1"/>
        <rFont val="Montserrat"/>
      </rPr>
      <t>WHO SHOULD USE THIS TEMPLATE?</t>
    </r>
    <r>
      <rPr>
        <b/>
        <sz val="11"/>
        <color theme="1"/>
        <rFont val="Montserrat"/>
      </rPr>
      <t xml:space="preserve">
</t>
    </r>
    <r>
      <rPr>
        <sz val="11"/>
        <color theme="1"/>
        <rFont val="Montserrat"/>
      </rPr>
      <t xml:space="preserve">Data submission templates are customized to accommodate the specific data reporting requirements for each producer. This template is used by producers with an </t>
    </r>
    <r>
      <rPr>
        <b/>
        <sz val="11"/>
        <color theme="1"/>
        <rFont val="Montserrat"/>
      </rPr>
      <t xml:space="preserve">all-in all-out water based </t>
    </r>
    <r>
      <rPr>
        <sz val="11"/>
        <color theme="1"/>
        <rFont val="Montserrat"/>
      </rPr>
      <t xml:space="preserve">production method producing </t>
    </r>
    <r>
      <rPr>
        <b/>
        <sz val="11"/>
        <color theme="1"/>
        <rFont val="Montserrat"/>
      </rPr>
      <t>fed crustaceans</t>
    </r>
    <r>
      <rPr>
        <sz val="11"/>
        <color theme="1"/>
        <rFont val="Montserrat"/>
      </rPr>
      <t>.</t>
    </r>
    <r>
      <rPr>
        <b/>
        <sz val="11"/>
        <color theme="1"/>
        <rFont val="Montserrat"/>
      </rPr>
      <t xml:space="preserve">
</t>
    </r>
  </si>
  <si>
    <t>CRUS_ALL_MBFW_F_AIAOV1.0</t>
  </si>
  <si>
    <t xml:space="preserve">DATA FIELDS
In this reporting template, each column in each table is colour coded. These colours correspond to the following:
- Blue fields are mandatory and must be completed (if applicable) to fulfill the data submission requirement under the ASC Farm Standard;
- Grey fields are voluntary, these may be used to provide further information on the reported data;
- Orange fields are prepopulated or automated to calculate the metric indicator of concern using data provided in blue fields  and applying the method intended by ASC, orange field do not require input and cannot be modified.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</si>
</sst>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0.0"/>
    <numFmt numFmtId="165" formatCode="0;0;;@"/>
    <numFmt numFmtId="166" formatCode="0.00;0.00;;@"/>
    <numFmt numFmtId="167" formatCode="dd\-mm\-yyyy"/>
    <numFmt numFmtId="168" formatCode="0.0;0.0;;@"/>
  </numFmts>
  <fonts count="25" x14ac:knownFonts="1">
    <font>
      <sz val="11"/>
      <color theme="1"/>
      <name val="Calibri"/>
      <family val="2"/>
      <scheme val="minor"/>
    </font>
    <font>
      <sz val="11"/>
      <color rgb="FF000000"/>
      <name val="Calibri"/>
      <family val="2"/>
      <scheme val="minor"/>
    </font>
    <font>
      <b/>
      <sz val="11"/>
      <color theme="1"/>
      <name val="Calibri"/>
      <family val="2"/>
      <scheme val="minor"/>
    </font>
    <font>
      <u/>
      <sz val="11"/>
      <color theme="10"/>
      <name val="Calibri"/>
      <family val="2"/>
      <scheme val="minor"/>
    </font>
    <font>
      <sz val="9"/>
      <color indexed="81"/>
      <name val="Tahoma"/>
      <family val="2"/>
    </font>
    <font>
      <b/>
      <sz val="9"/>
      <color indexed="81"/>
      <name val="Tahoma"/>
      <family val="2"/>
    </font>
    <font>
      <sz val="8"/>
      <name val="Calibri"/>
      <family val="2"/>
      <scheme val="minor"/>
    </font>
    <font>
      <b/>
      <sz val="11"/>
      <color theme="1"/>
      <name val="Montserrat"/>
    </font>
    <font>
      <sz val="11"/>
      <color theme="1"/>
      <name val="Montserrat"/>
    </font>
    <font>
      <sz val="11"/>
      <name val="Montserrat"/>
    </font>
    <font>
      <b/>
      <sz val="11"/>
      <color rgb="FF000000"/>
      <name val="Montserrat"/>
    </font>
    <font>
      <sz val="11"/>
      <color rgb="FF000000"/>
      <name val="Montserrat"/>
    </font>
    <font>
      <i/>
      <sz val="11"/>
      <color theme="1"/>
      <name val="Montserrat"/>
    </font>
    <font>
      <i/>
      <sz val="11"/>
      <color rgb="FF000000"/>
      <name val="Montserrat"/>
    </font>
    <font>
      <b/>
      <sz val="11"/>
      <color theme="0"/>
      <name val="Montserrat"/>
    </font>
    <font>
      <b/>
      <sz val="7"/>
      <color rgb="FF5F6368"/>
      <name val="Arial"/>
      <family val="2"/>
    </font>
    <font>
      <sz val="6"/>
      <color rgb="FF454545"/>
      <name val="Montserrat"/>
    </font>
    <font>
      <sz val="7.7"/>
      <color theme="1"/>
      <name val="Montserrat"/>
    </font>
    <font>
      <sz val="10"/>
      <color theme="1"/>
      <name val="Calibri"/>
      <family val="2"/>
      <scheme val="minor"/>
    </font>
    <font>
      <b/>
      <sz val="11"/>
      <color rgb="FFFFFFFF"/>
      <name val="Montserrat"/>
    </font>
    <font>
      <sz val="12"/>
      <color theme="1"/>
      <name val="Montserrat"/>
    </font>
    <font>
      <b/>
      <sz val="11"/>
      <name val="Montserrat"/>
    </font>
    <font>
      <i/>
      <sz val="11"/>
      <name val="Montserrat"/>
    </font>
    <font>
      <u/>
      <sz val="11"/>
      <color theme="10"/>
      <name val="Montserrat"/>
    </font>
    <font>
      <b/>
      <sz val="11"/>
      <color theme="0" tint="-0.499984740745262"/>
      <name val="Montserrat"/>
    </font>
  </fonts>
  <fills count="27">
    <fill>
      <patternFill patternType="none"/>
    </fill>
    <fill>
      <patternFill patternType="gray125"/>
    </fill>
    <fill>
      <patternFill patternType="solid">
        <fgColor theme="5" tint="0.59999389629810485"/>
        <bgColor indexed="64"/>
      </patternFill>
    </fill>
    <fill>
      <patternFill patternType="solid">
        <fgColor theme="0" tint="-0.14999847407452621"/>
        <bgColor indexed="64"/>
      </patternFill>
    </fill>
    <fill>
      <patternFill patternType="solid">
        <fgColor theme="9" tint="0.79998168889431442"/>
        <bgColor indexed="64"/>
      </patternFill>
    </fill>
    <fill>
      <patternFill patternType="solid">
        <fgColor theme="7" tint="0.59999389629810485"/>
        <bgColor indexed="64"/>
      </patternFill>
    </fill>
    <fill>
      <patternFill patternType="solid">
        <fgColor rgb="FFFFFF00"/>
        <bgColor indexed="64"/>
      </patternFill>
    </fill>
    <fill>
      <patternFill patternType="solid">
        <fgColor theme="8"/>
        <bgColor indexed="64"/>
      </patternFill>
    </fill>
    <fill>
      <patternFill patternType="solid">
        <fgColor theme="5" tint="0.39997558519241921"/>
        <bgColor indexed="64"/>
      </patternFill>
    </fill>
    <fill>
      <patternFill patternType="solid">
        <fgColor theme="8" tint="0.59999389629810485"/>
        <bgColor theme="8" tint="0.59999389629810485"/>
      </patternFill>
    </fill>
    <fill>
      <patternFill patternType="solid">
        <fgColor theme="8" tint="0.79998168889431442"/>
        <bgColor theme="8" tint="0.79998168889431442"/>
      </patternFill>
    </fill>
    <fill>
      <patternFill patternType="solid">
        <fgColor theme="8" tint="0.59999389629810485"/>
        <bgColor indexed="64"/>
      </patternFill>
    </fill>
    <fill>
      <patternFill patternType="solid">
        <fgColor theme="5" tint="0.79998168889431442"/>
        <bgColor indexed="64"/>
      </patternFill>
    </fill>
    <fill>
      <patternFill patternType="solid">
        <fgColor theme="8"/>
        <bgColor theme="8"/>
      </patternFill>
    </fill>
    <fill>
      <patternFill patternType="solid">
        <fgColor theme="0" tint="-0.249977111117893"/>
        <bgColor indexed="64"/>
      </patternFill>
    </fill>
    <fill>
      <patternFill patternType="solid">
        <fgColor theme="0" tint="-0.14999847407452621"/>
        <bgColor theme="8" tint="0.59999389629810485"/>
      </patternFill>
    </fill>
    <fill>
      <patternFill patternType="solid">
        <fgColor theme="5" tint="0.79998168889431442"/>
        <bgColor theme="8" tint="0.59999389629810485"/>
      </patternFill>
    </fill>
    <fill>
      <patternFill patternType="solid">
        <fgColor theme="0" tint="-0.14999847407452621"/>
        <bgColor theme="8" tint="0.79998168889431442"/>
      </patternFill>
    </fill>
    <fill>
      <patternFill patternType="solid">
        <fgColor theme="9" tint="0.79998168889431442"/>
        <bgColor theme="8" tint="0.79998168889431442"/>
      </patternFill>
    </fill>
    <fill>
      <patternFill patternType="solid">
        <fgColor theme="7" tint="0.59999389629810485"/>
        <bgColor theme="8" tint="0.79998168889431442"/>
      </patternFill>
    </fill>
    <fill>
      <patternFill patternType="solid">
        <fgColor rgb="FFFCE4D6"/>
        <bgColor indexed="64"/>
      </patternFill>
    </fill>
    <fill>
      <patternFill patternType="solid">
        <fgColor rgb="FFFCE4D6"/>
        <bgColor rgb="FF000000"/>
      </patternFill>
    </fill>
    <fill>
      <patternFill patternType="solid">
        <fgColor theme="5" tint="0.79998168889431442"/>
        <bgColor theme="8" tint="0.79998168889431442"/>
      </patternFill>
    </fill>
    <fill>
      <patternFill patternType="solid">
        <fgColor rgb="FF5B9BD5"/>
        <bgColor rgb="FF5B9BD5"/>
      </patternFill>
    </fill>
    <fill>
      <patternFill patternType="solid">
        <fgColor theme="0"/>
        <bgColor indexed="64"/>
      </patternFill>
    </fill>
    <fill>
      <patternFill patternType="solid">
        <fgColor theme="7" tint="0.79998168889431442"/>
        <bgColor indexed="64"/>
      </patternFill>
    </fill>
    <fill>
      <patternFill patternType="solid">
        <fgColor theme="9" tint="0.59999389629810485"/>
        <bgColor indexed="64"/>
      </patternFill>
    </fill>
  </fills>
  <borders count="54">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style="thin">
        <color theme="0"/>
      </right>
      <top/>
      <bottom style="thick">
        <color theme="0"/>
      </bottom>
      <diagonal/>
    </border>
    <border>
      <left style="thin">
        <color theme="0"/>
      </left>
      <right style="thin">
        <color theme="0"/>
      </right>
      <top/>
      <bottom style="thick">
        <color theme="0"/>
      </bottom>
      <diagonal/>
    </border>
    <border>
      <left/>
      <right style="thin">
        <color theme="0"/>
      </right>
      <top style="thin">
        <color theme="0"/>
      </top>
      <bottom style="thin">
        <color theme="0"/>
      </bottom>
      <diagonal/>
    </border>
    <border>
      <left style="thin">
        <color theme="0"/>
      </left>
      <right style="thin">
        <color theme="0"/>
      </right>
      <top style="thin">
        <color theme="0"/>
      </top>
      <bottom style="thin">
        <color theme="0"/>
      </bottom>
      <diagonal/>
    </border>
    <border>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right/>
      <top style="thin">
        <color indexed="64"/>
      </top>
      <bottom style="thin">
        <color indexed="64"/>
      </bottom>
      <diagonal/>
    </border>
    <border>
      <left style="thin">
        <color theme="0"/>
      </left>
      <right/>
      <top/>
      <bottom style="thick">
        <color theme="0"/>
      </bottom>
      <diagonal/>
    </border>
    <border>
      <left style="thin">
        <color theme="0"/>
      </left>
      <right/>
      <top style="thin">
        <color theme="0"/>
      </top>
      <bottom style="thin">
        <color theme="0"/>
      </bottom>
      <diagonal/>
    </border>
    <border>
      <left/>
      <right style="thin">
        <color theme="0"/>
      </right>
      <top/>
      <bottom/>
      <diagonal/>
    </border>
    <border>
      <left style="thin">
        <color theme="0"/>
      </left>
      <right/>
      <top/>
      <bottom/>
      <diagonal/>
    </border>
    <border>
      <left/>
      <right style="thin">
        <color theme="0"/>
      </right>
      <top style="thin">
        <color theme="0"/>
      </top>
      <bottom/>
      <diagonal/>
    </border>
    <border>
      <left style="thin">
        <color theme="0"/>
      </left>
      <right/>
      <top style="thin">
        <color theme="0"/>
      </top>
      <bottom/>
      <diagonal/>
    </border>
    <border>
      <left style="thin">
        <color theme="0"/>
      </left>
      <right style="thin">
        <color theme="0"/>
      </right>
      <top/>
      <bottom style="thin">
        <color theme="0"/>
      </bottom>
      <diagonal/>
    </border>
    <border>
      <left style="thin">
        <color theme="0"/>
      </left>
      <right style="thin">
        <color theme="0"/>
      </right>
      <top style="thin">
        <color theme="0"/>
      </top>
      <bottom/>
      <diagonal/>
    </border>
    <border>
      <left style="thin">
        <color theme="0"/>
      </left>
      <right style="thin">
        <color theme="0"/>
      </right>
      <top/>
      <bottom/>
      <diagonal/>
    </border>
    <border>
      <left/>
      <right/>
      <top style="thick">
        <color theme="0"/>
      </top>
      <bottom/>
      <diagonal/>
    </border>
    <border>
      <left/>
      <right/>
      <top style="thin">
        <color theme="0"/>
      </top>
      <bottom/>
      <diagonal/>
    </border>
    <border>
      <left style="thin">
        <color theme="4" tint="0.39997558519241921"/>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theme="0"/>
      </right>
      <top style="thin">
        <color indexed="64"/>
      </top>
      <bottom style="thin">
        <color theme="0"/>
      </bottom>
      <diagonal/>
    </border>
    <border>
      <left style="thin">
        <color theme="0"/>
      </left>
      <right style="thin">
        <color theme="0"/>
      </right>
      <top style="thin">
        <color indexed="64"/>
      </top>
      <bottom style="thin">
        <color theme="0"/>
      </bottom>
      <diagonal/>
    </border>
    <border>
      <left style="thin">
        <color theme="0"/>
      </left>
      <right style="thin">
        <color indexed="64"/>
      </right>
      <top style="thin">
        <color indexed="64"/>
      </top>
      <bottom style="thin">
        <color theme="0"/>
      </bottom>
      <diagonal/>
    </border>
    <border>
      <left style="thin">
        <color indexed="64"/>
      </left>
      <right style="thin">
        <color theme="0"/>
      </right>
      <top style="thin">
        <color theme="0"/>
      </top>
      <bottom style="thin">
        <color theme="0"/>
      </bottom>
      <diagonal/>
    </border>
    <border>
      <left style="thin">
        <color theme="0"/>
      </left>
      <right style="thin">
        <color indexed="64"/>
      </right>
      <top style="thin">
        <color theme="0"/>
      </top>
      <bottom style="thin">
        <color theme="0"/>
      </bottom>
      <diagonal/>
    </border>
    <border>
      <left style="thin">
        <color indexed="64"/>
      </left>
      <right style="thin">
        <color theme="0"/>
      </right>
      <top style="thin">
        <color theme="0"/>
      </top>
      <bottom style="thin">
        <color indexed="64"/>
      </bottom>
      <diagonal/>
    </border>
    <border>
      <left style="thin">
        <color theme="0"/>
      </left>
      <right style="thin">
        <color theme="0"/>
      </right>
      <top style="thin">
        <color theme="0"/>
      </top>
      <bottom style="thin">
        <color indexed="64"/>
      </bottom>
      <diagonal/>
    </border>
    <border>
      <left style="thin">
        <color theme="0"/>
      </left>
      <right style="thin">
        <color indexed="64"/>
      </right>
      <top style="thin">
        <color theme="0"/>
      </top>
      <bottom style="thin">
        <color indexed="64"/>
      </bottom>
      <diagonal/>
    </border>
    <border>
      <left style="thin">
        <color theme="0"/>
      </left>
      <right style="thin">
        <color indexed="64"/>
      </right>
      <top style="thin">
        <color theme="0"/>
      </top>
      <bottom/>
      <diagonal/>
    </border>
    <border>
      <left style="thin">
        <color indexed="64"/>
      </left>
      <right style="thin">
        <color theme="0"/>
      </right>
      <top/>
      <bottom style="thin">
        <color theme="0"/>
      </bottom>
      <diagonal/>
    </border>
    <border>
      <left style="thin">
        <color indexed="64"/>
      </left>
      <right/>
      <top style="thin">
        <color theme="0"/>
      </top>
      <bottom style="thin">
        <color indexed="64"/>
      </bottom>
      <diagonal/>
    </border>
    <border>
      <left style="thin">
        <color theme="0"/>
      </left>
      <right/>
      <top style="thin">
        <color indexed="64"/>
      </top>
      <bottom/>
      <diagonal/>
    </border>
    <border>
      <left style="thin">
        <color theme="0"/>
      </left>
      <right style="thin">
        <color indexed="64"/>
      </right>
      <top style="thin">
        <color indexed="64"/>
      </top>
      <bottom/>
      <diagonal/>
    </border>
    <border>
      <left style="thin">
        <color indexed="64"/>
      </left>
      <right/>
      <top style="thin">
        <color theme="0"/>
      </top>
      <bottom/>
      <diagonal/>
    </border>
    <border>
      <left style="thin">
        <color theme="0"/>
      </left>
      <right/>
      <top style="thin">
        <color theme="0"/>
      </top>
      <bottom style="thin">
        <color indexed="64"/>
      </bottom>
      <diagonal/>
    </border>
    <border>
      <left style="thin">
        <color theme="0"/>
      </left>
      <right style="thin">
        <color indexed="64"/>
      </right>
      <top/>
      <bottom/>
      <diagonal/>
    </border>
    <border>
      <left style="thin">
        <color theme="0"/>
      </left>
      <right/>
      <top style="thin">
        <color indexed="64"/>
      </top>
      <bottom style="thin">
        <color theme="0"/>
      </bottom>
      <diagonal/>
    </border>
    <border>
      <left style="thin">
        <color indexed="64"/>
      </left>
      <right style="thin">
        <color indexed="64"/>
      </right>
      <top style="thin">
        <color theme="0"/>
      </top>
      <bottom style="thin">
        <color theme="0"/>
      </bottom>
      <diagonal/>
    </border>
    <border>
      <left style="thin">
        <color indexed="64"/>
      </left>
      <right style="thin">
        <color indexed="64"/>
      </right>
      <top style="thin">
        <color theme="0"/>
      </top>
      <bottom style="thin">
        <color indexed="64"/>
      </bottom>
      <diagonal/>
    </border>
    <border>
      <left style="thin">
        <color indexed="64"/>
      </left>
      <right style="thin">
        <color indexed="64"/>
      </right>
      <top style="thin">
        <color indexed="64"/>
      </top>
      <bottom style="thin">
        <color theme="0"/>
      </bottom>
      <diagonal/>
    </border>
    <border>
      <left/>
      <right/>
      <top style="thin">
        <color theme="0"/>
      </top>
      <bottom style="thin">
        <color indexed="64"/>
      </bottom>
      <diagonal/>
    </border>
    <border>
      <left style="thin">
        <color theme="0"/>
      </left>
      <right/>
      <top style="thick">
        <color theme="0"/>
      </top>
      <bottom/>
      <diagonal/>
    </border>
  </borders>
  <cellStyleXfs count="2">
    <xf numFmtId="0" fontId="0" fillId="0" borderId="0"/>
    <xf numFmtId="0" fontId="3" fillId="0" borderId="0" applyNumberFormat="0" applyFill="0" applyBorder="0" applyAlignment="0" applyProtection="0"/>
  </cellStyleXfs>
  <cellXfs count="350">
    <xf numFmtId="0" fontId="0" fillId="0" borderId="0" xfId="0"/>
    <xf numFmtId="0" fontId="0" fillId="0" borderId="1" xfId="0" applyBorder="1"/>
    <xf numFmtId="0" fontId="1" fillId="0" borderId="0" xfId="0" applyFont="1"/>
    <xf numFmtId="0" fontId="0" fillId="0" borderId="2" xfId="0" applyBorder="1"/>
    <xf numFmtId="0" fontId="0" fillId="0" borderId="3" xfId="0" applyBorder="1"/>
    <xf numFmtId="0" fontId="2" fillId="0" borderId="1" xfId="0" applyFont="1" applyBorder="1"/>
    <xf numFmtId="0" fontId="0" fillId="0" borderId="7" xfId="0" applyBorder="1"/>
    <xf numFmtId="0" fontId="2" fillId="0" borderId="7" xfId="0" applyFont="1" applyBorder="1"/>
    <xf numFmtId="0" fontId="0" fillId="0" borderId="6" xfId="0" applyBorder="1"/>
    <xf numFmtId="0" fontId="1" fillId="0" borderId="1" xfId="0" applyFont="1" applyBorder="1"/>
    <xf numFmtId="0" fontId="0" fillId="0" borderId="16" xfId="0" applyBorder="1"/>
    <xf numFmtId="165" fontId="0" fillId="0" borderId="1" xfId="0" applyNumberFormat="1" applyBorder="1"/>
    <xf numFmtId="0" fontId="0" fillId="0" borderId="1" xfId="0" applyBorder="1" applyAlignment="1">
      <alignment vertical="center"/>
    </xf>
    <xf numFmtId="0" fontId="9" fillId="0" borderId="1" xfId="0" applyFont="1" applyBorder="1"/>
    <xf numFmtId="0" fontId="9" fillId="0" borderId="1" xfId="0" applyFont="1" applyBorder="1" applyAlignment="1">
      <alignment horizontal="left"/>
    </xf>
    <xf numFmtId="0" fontId="8" fillId="0" borderId="0" xfId="0" applyFont="1"/>
    <xf numFmtId="49" fontId="8" fillId="0" borderId="0" xfId="0" applyNumberFormat="1" applyFont="1"/>
    <xf numFmtId="0" fontId="8" fillId="0" borderId="0" xfId="0" applyFont="1" applyAlignment="1">
      <alignment wrapText="1"/>
    </xf>
    <xf numFmtId="0" fontId="7" fillId="0" borderId="0" xfId="0" applyFont="1"/>
    <xf numFmtId="0" fontId="8" fillId="2" borderId="0" xfId="0" applyFont="1" applyFill="1"/>
    <xf numFmtId="0" fontId="11" fillId="0" borderId="0" xfId="0" applyFont="1"/>
    <xf numFmtId="0" fontId="8" fillId="6" borderId="0" xfId="0" applyFont="1" applyFill="1"/>
    <xf numFmtId="0" fontId="13" fillId="0" borderId="0" xfId="0" applyFont="1"/>
    <xf numFmtId="0" fontId="7" fillId="7" borderId="0" xfId="0" applyFont="1" applyFill="1" applyAlignment="1">
      <alignment horizontal="left" vertical="top" wrapText="1"/>
    </xf>
    <xf numFmtId="0" fontId="8" fillId="0" borderId="0" xfId="0" applyFont="1" applyAlignment="1">
      <alignment horizontal="left" vertical="top" wrapText="1"/>
    </xf>
    <xf numFmtId="0" fontId="7" fillId="8" borderId="0" xfId="0" applyFont="1" applyFill="1" applyAlignment="1">
      <alignment horizontal="left" vertical="top" wrapText="1"/>
    </xf>
    <xf numFmtId="0" fontId="7" fillId="14" borderId="0" xfId="0" applyFont="1" applyFill="1" applyAlignment="1">
      <alignment horizontal="left" vertical="top" wrapText="1"/>
    </xf>
    <xf numFmtId="2" fontId="8" fillId="2" borderId="0" xfId="0" applyNumberFormat="1" applyFont="1" applyFill="1"/>
    <xf numFmtId="165" fontId="8" fillId="0" borderId="0" xfId="0" applyNumberFormat="1" applyFont="1" applyProtection="1">
      <protection locked="0"/>
    </xf>
    <xf numFmtId="165" fontId="8" fillId="3" borderId="0" xfId="0" applyNumberFormat="1" applyFont="1" applyFill="1" applyProtection="1">
      <protection locked="0"/>
    </xf>
    <xf numFmtId="2" fontId="8" fillId="0" borderId="0" xfId="0" applyNumberFormat="1" applyFont="1" applyProtection="1">
      <protection locked="0"/>
    </xf>
    <xf numFmtId="0" fontId="8" fillId="0" borderId="0" xfId="0" applyFont="1" applyProtection="1">
      <protection locked="0"/>
    </xf>
    <xf numFmtId="0" fontId="10" fillId="0" borderId="0" xfId="0" applyFont="1"/>
    <xf numFmtId="165" fontId="8" fillId="0" borderId="0" xfId="0" applyNumberFormat="1" applyFont="1"/>
    <xf numFmtId="0" fontId="7" fillId="0" borderId="0" xfId="0" applyFont="1" applyAlignment="1">
      <alignment horizontal="left" vertical="top" wrapText="1"/>
    </xf>
    <xf numFmtId="165" fontId="8" fillId="2" borderId="0" xfId="0" applyNumberFormat="1" applyFont="1" applyFill="1"/>
    <xf numFmtId="0" fontId="7" fillId="14" borderId="0" xfId="0" applyFont="1" applyFill="1" applyAlignment="1">
      <alignment horizontal="left" vertical="top"/>
    </xf>
    <xf numFmtId="1" fontId="8" fillId="0" borderId="0" xfId="0" applyNumberFormat="1" applyFont="1" applyProtection="1">
      <protection locked="0"/>
    </xf>
    <xf numFmtId="164" fontId="8" fillId="2" borderId="0" xfId="0" applyNumberFormat="1" applyFont="1" applyFill="1"/>
    <xf numFmtId="0" fontId="14" fillId="0" borderId="0" xfId="0" applyFont="1"/>
    <xf numFmtId="2" fontId="8" fillId="0" borderId="0" xfId="0" applyNumberFormat="1" applyFont="1"/>
    <xf numFmtId="0" fontId="12" fillId="0" borderId="0" xfId="0" applyFont="1"/>
    <xf numFmtId="1" fontId="8" fillId="0" borderId="0" xfId="0" applyNumberFormat="1" applyFont="1"/>
    <xf numFmtId="0" fontId="14" fillId="8" borderId="8" xfId="0" applyFont="1" applyFill="1" applyBorder="1"/>
    <xf numFmtId="0" fontId="14" fillId="8" borderId="9" xfId="0" applyFont="1" applyFill="1" applyBorder="1"/>
    <xf numFmtId="1" fontId="14" fillId="8" borderId="17" xfId="0" applyNumberFormat="1" applyFont="1" applyFill="1" applyBorder="1"/>
    <xf numFmtId="1" fontId="8" fillId="2" borderId="11" xfId="0" applyNumberFormat="1" applyFont="1" applyFill="1" applyBorder="1"/>
    <xf numFmtId="1" fontId="8" fillId="2" borderId="18" xfId="0" applyNumberFormat="1" applyFont="1" applyFill="1" applyBorder="1"/>
    <xf numFmtId="14" fontId="8" fillId="0" borderId="0" xfId="0" applyNumberFormat="1" applyFont="1"/>
    <xf numFmtId="0" fontId="7" fillId="7" borderId="0" xfId="0" applyFont="1" applyFill="1" applyAlignment="1">
      <alignment vertical="top" wrapText="1"/>
    </xf>
    <xf numFmtId="0" fontId="7" fillId="14" borderId="0" xfId="0" applyFont="1" applyFill="1" applyAlignment="1">
      <alignment vertical="top" wrapText="1"/>
    </xf>
    <xf numFmtId="1" fontId="7" fillId="0" borderId="0" xfId="0" applyNumberFormat="1" applyFont="1" applyAlignment="1">
      <alignment vertical="top" wrapText="1"/>
    </xf>
    <xf numFmtId="0" fontId="7" fillId="8" borderId="0" xfId="0" applyFont="1" applyFill="1" applyAlignment="1">
      <alignment vertical="top" wrapText="1"/>
    </xf>
    <xf numFmtId="0" fontId="7" fillId="7" borderId="0" xfId="0" applyFont="1" applyFill="1" applyAlignment="1">
      <alignment vertical="top"/>
    </xf>
    <xf numFmtId="0" fontId="7" fillId="14" borderId="0" xfId="0" applyFont="1" applyFill="1" applyAlignment="1">
      <alignment vertical="top"/>
    </xf>
    <xf numFmtId="1" fontId="7" fillId="14" borderId="0" xfId="0" applyNumberFormat="1" applyFont="1" applyFill="1" applyAlignment="1">
      <alignment vertical="top" wrapText="1"/>
    </xf>
    <xf numFmtId="0" fontId="8" fillId="12" borderId="0" xfId="0" applyFont="1" applyFill="1"/>
    <xf numFmtId="0" fontId="8" fillId="10" borderId="11" xfId="0" applyFont="1" applyFill="1" applyBorder="1"/>
    <xf numFmtId="0" fontId="14" fillId="7" borderId="0" xfId="0" applyFont="1" applyFill="1" applyAlignment="1">
      <alignment horizontal="left" vertical="top" wrapText="1"/>
    </xf>
    <xf numFmtId="0" fontId="14" fillId="8" borderId="0" xfId="0" applyFont="1" applyFill="1" applyAlignment="1">
      <alignment horizontal="left" vertical="top" wrapText="1"/>
    </xf>
    <xf numFmtId="0" fontId="14" fillId="14" borderId="0" xfId="0" applyFont="1" applyFill="1" applyAlignment="1">
      <alignment horizontal="left" vertical="top" wrapText="1"/>
    </xf>
    <xf numFmtId="0" fontId="14" fillId="13" borderId="0" xfId="0" applyFont="1" applyFill="1" applyAlignment="1">
      <alignment horizontal="left" vertical="top" wrapText="1"/>
    </xf>
    <xf numFmtId="0" fontId="8" fillId="0" borderId="0" xfId="0" applyFont="1" applyAlignment="1">
      <alignment horizontal="left" vertical="top"/>
    </xf>
    <xf numFmtId="0" fontId="14" fillId="8" borderId="0" xfId="0" applyFont="1" applyFill="1" applyAlignment="1">
      <alignment horizontal="left" vertical="top"/>
    </xf>
    <xf numFmtId="0" fontId="8" fillId="8" borderId="0" xfId="0" applyFont="1" applyFill="1" applyAlignment="1">
      <alignment horizontal="left" vertical="top"/>
    </xf>
    <xf numFmtId="0" fontId="14" fillId="13" borderId="8" xfId="0" applyFont="1" applyFill="1" applyBorder="1"/>
    <xf numFmtId="0" fontId="14" fillId="13" borderId="17" xfId="0" applyFont="1" applyFill="1" applyBorder="1"/>
    <xf numFmtId="17" fontId="8" fillId="12" borderId="0" xfId="0" applyNumberFormat="1" applyFont="1" applyFill="1" applyAlignment="1">
      <alignment horizontal="left"/>
    </xf>
    <xf numFmtId="0" fontId="16" fillId="0" borderId="0" xfId="0" applyFont="1"/>
    <xf numFmtId="0" fontId="8" fillId="9" borderId="11" xfId="0" applyFont="1" applyFill="1" applyBorder="1"/>
    <xf numFmtId="0" fontId="8" fillId="4" borderId="0" xfId="0" applyFont="1" applyFill="1"/>
    <xf numFmtId="0" fontId="8" fillId="18" borderId="11" xfId="0" applyFont="1" applyFill="1" applyBorder="1"/>
    <xf numFmtId="0" fontId="8" fillId="5" borderId="0" xfId="0" applyFont="1" applyFill="1"/>
    <xf numFmtId="0" fontId="8" fillId="19" borderId="11" xfId="0" applyFont="1" applyFill="1" applyBorder="1"/>
    <xf numFmtId="0" fontId="9" fillId="0" borderId="0" xfId="0" applyFont="1"/>
    <xf numFmtId="165" fontId="8" fillId="16" borderId="0" xfId="0" applyNumberFormat="1" applyFont="1" applyFill="1"/>
    <xf numFmtId="2" fontId="8" fillId="12" borderId="0" xfId="0" applyNumberFormat="1" applyFont="1" applyFill="1"/>
    <xf numFmtId="0" fontId="14" fillId="13" borderId="9" xfId="0" applyFont="1" applyFill="1" applyBorder="1" applyAlignment="1">
      <alignment horizontal="left" vertical="top" wrapText="1"/>
    </xf>
    <xf numFmtId="0" fontId="14" fillId="0" borderId="0" xfId="0" applyFont="1" applyAlignment="1">
      <alignment horizontal="left" vertical="top" wrapText="1"/>
    </xf>
    <xf numFmtId="0" fontId="8" fillId="8" borderId="17" xfId="0" applyFont="1" applyFill="1" applyBorder="1" applyAlignment="1">
      <alignment horizontal="left" vertical="top"/>
    </xf>
    <xf numFmtId="165" fontId="8" fillId="12" borderId="0" xfId="0" applyNumberFormat="1" applyFont="1" applyFill="1"/>
    <xf numFmtId="0" fontId="14" fillId="13" borderId="19" xfId="0" applyFont="1" applyFill="1" applyBorder="1"/>
    <xf numFmtId="0" fontId="14" fillId="13" borderId="25" xfId="0" applyFont="1" applyFill="1" applyBorder="1"/>
    <xf numFmtId="0" fontId="14" fillId="13" borderId="20" xfId="0" applyFont="1" applyFill="1" applyBorder="1"/>
    <xf numFmtId="0" fontId="8" fillId="0" borderId="0" xfId="0" applyFont="1" applyAlignment="1">
      <alignment vertical="center"/>
    </xf>
    <xf numFmtId="0" fontId="14" fillId="13" borderId="17" xfId="0" applyFont="1" applyFill="1" applyBorder="1" applyAlignment="1">
      <alignment horizontal="left" vertical="top" wrapText="1"/>
    </xf>
    <xf numFmtId="0" fontId="8" fillId="9" borderId="18" xfId="0" applyFont="1" applyFill="1" applyBorder="1"/>
    <xf numFmtId="0" fontId="8" fillId="10" borderId="18" xfId="0" applyFont="1" applyFill="1" applyBorder="1"/>
    <xf numFmtId="0" fontId="8" fillId="9" borderId="24" xfId="0" applyFont="1" applyFill="1" applyBorder="1"/>
    <xf numFmtId="0" fontId="8" fillId="9" borderId="22" xfId="0" applyFont="1" applyFill="1" applyBorder="1"/>
    <xf numFmtId="0" fontId="14" fillId="13" borderId="19" xfId="0" applyFont="1" applyFill="1" applyBorder="1" applyAlignment="1">
      <alignment horizontal="left" vertical="top" wrapText="1"/>
    </xf>
    <xf numFmtId="0" fontId="14" fillId="13" borderId="25" xfId="0" applyFont="1" applyFill="1" applyBorder="1" applyAlignment="1">
      <alignment horizontal="left" vertical="top" wrapText="1"/>
    </xf>
    <xf numFmtId="0" fontId="14" fillId="13" borderId="20" xfId="0" applyFont="1" applyFill="1" applyBorder="1" applyAlignment="1">
      <alignment horizontal="left" vertical="top" wrapText="1"/>
    </xf>
    <xf numFmtId="0" fontId="14" fillId="13" borderId="8" xfId="0" applyFont="1" applyFill="1" applyBorder="1" applyAlignment="1">
      <alignment horizontal="left" vertical="top" wrapText="1"/>
    </xf>
    <xf numFmtId="17" fontId="8" fillId="12" borderId="0" xfId="0" applyNumberFormat="1" applyFont="1" applyFill="1"/>
    <xf numFmtId="0" fontId="8" fillId="9" borderId="10" xfId="0" applyFont="1" applyFill="1" applyBorder="1"/>
    <xf numFmtId="0" fontId="14" fillId="7" borderId="20" xfId="0" applyFont="1" applyFill="1" applyBorder="1" applyAlignment="1">
      <alignment horizontal="left" vertical="top" wrapText="1"/>
    </xf>
    <xf numFmtId="0" fontId="8" fillId="10" borderId="10" xfId="0" applyFont="1" applyFill="1" applyBorder="1"/>
    <xf numFmtId="0" fontId="8" fillId="9" borderId="21" xfId="0" applyFont="1" applyFill="1" applyBorder="1"/>
    <xf numFmtId="0" fontId="14" fillId="0" borderId="25" xfId="0" applyFont="1" applyBorder="1" applyAlignment="1">
      <alignment horizontal="left" vertical="top" wrapText="1"/>
    </xf>
    <xf numFmtId="0" fontId="1" fillId="0" borderId="2" xfId="0" applyFont="1" applyBorder="1"/>
    <xf numFmtId="2" fontId="7" fillId="7" borderId="0" xfId="0" applyNumberFormat="1" applyFont="1" applyFill="1" applyAlignment="1">
      <alignment horizontal="left" vertical="top" wrapText="1"/>
    </xf>
    <xf numFmtId="0" fontId="8" fillId="8" borderId="0" xfId="0" applyFont="1" applyFill="1" applyAlignment="1">
      <alignment horizontal="left" vertical="top" wrapText="1"/>
    </xf>
    <xf numFmtId="0" fontId="10" fillId="0" borderId="1" xfId="0" applyFont="1" applyBorder="1" applyAlignment="1">
      <alignment wrapText="1"/>
    </xf>
    <xf numFmtId="0" fontId="11" fillId="12" borderId="0" xfId="0" applyFont="1" applyFill="1"/>
    <xf numFmtId="0" fontId="9" fillId="6" borderId="0" xfId="0" applyFont="1" applyFill="1"/>
    <xf numFmtId="0" fontId="18" fillId="12" borderId="0" xfId="0" applyFont="1" applyFill="1"/>
    <xf numFmtId="0" fontId="14" fillId="14" borderId="20" xfId="0" applyFont="1" applyFill="1" applyBorder="1" applyAlignment="1">
      <alignment horizontal="left" vertical="top" wrapText="1"/>
    </xf>
    <xf numFmtId="0" fontId="14" fillId="8" borderId="20" xfId="0" applyFont="1" applyFill="1" applyBorder="1" applyAlignment="1">
      <alignment horizontal="left" vertical="top" wrapText="1"/>
    </xf>
    <xf numFmtId="165" fontId="8" fillId="16" borderId="26" xfId="0" applyNumberFormat="1" applyFont="1" applyFill="1" applyBorder="1"/>
    <xf numFmtId="1" fontId="8" fillId="12" borderId="0" xfId="0" applyNumberFormat="1" applyFont="1" applyFill="1" applyAlignment="1">
      <alignment horizontal="left"/>
    </xf>
    <xf numFmtId="0" fontId="8" fillId="20" borderId="0" xfId="0" applyFont="1" applyFill="1"/>
    <xf numFmtId="0" fontId="11" fillId="21" borderId="0" xfId="0" applyFont="1" applyFill="1"/>
    <xf numFmtId="0" fontId="8" fillId="12" borderId="13" xfId="0" applyFont="1" applyFill="1" applyBorder="1"/>
    <xf numFmtId="0" fontId="8" fillId="12" borderId="15" xfId="0" applyFont="1" applyFill="1" applyBorder="1"/>
    <xf numFmtId="0" fontId="8" fillId="12" borderId="29" xfId="0" applyFont="1" applyFill="1" applyBorder="1"/>
    <xf numFmtId="17" fontId="8" fillId="16" borderId="13" xfId="0" applyNumberFormat="1" applyFont="1" applyFill="1" applyBorder="1" applyAlignment="1">
      <alignment horizontal="left"/>
    </xf>
    <xf numFmtId="0" fontId="8" fillId="12" borderId="14" xfId="0" applyFont="1" applyFill="1" applyBorder="1"/>
    <xf numFmtId="17" fontId="8" fillId="12" borderId="15" xfId="0" applyNumberFormat="1" applyFont="1" applyFill="1" applyBorder="1" applyAlignment="1">
      <alignment horizontal="left"/>
    </xf>
    <xf numFmtId="17" fontId="8" fillId="16" borderId="15" xfId="0" applyNumberFormat="1" applyFont="1" applyFill="1" applyBorder="1" applyAlignment="1">
      <alignment horizontal="left"/>
    </xf>
    <xf numFmtId="0" fontId="8" fillId="12" borderId="30" xfId="0" applyFont="1" applyFill="1" applyBorder="1"/>
    <xf numFmtId="17" fontId="8" fillId="12" borderId="29" xfId="0" applyNumberFormat="1" applyFont="1" applyFill="1" applyBorder="1" applyAlignment="1">
      <alignment horizontal="left"/>
    </xf>
    <xf numFmtId="0" fontId="8" fillId="22" borderId="33" xfId="0" applyFont="1" applyFill="1" applyBorder="1"/>
    <xf numFmtId="0" fontId="8" fillId="16" borderId="11" xfId="0" applyFont="1" applyFill="1" applyBorder="1"/>
    <xf numFmtId="0" fontId="8" fillId="22" borderId="11" xfId="0" applyFont="1" applyFill="1" applyBorder="1"/>
    <xf numFmtId="0" fontId="8" fillId="22" borderId="38" xfId="0" applyFont="1" applyFill="1" applyBorder="1"/>
    <xf numFmtId="0" fontId="8" fillId="16" borderId="33" xfId="0" applyFont="1" applyFill="1" applyBorder="1"/>
    <xf numFmtId="0" fontId="8" fillId="16" borderId="38" xfId="0" applyFont="1" applyFill="1" applyBorder="1"/>
    <xf numFmtId="0" fontId="14" fillId="8" borderId="25" xfId="0" applyFont="1" applyFill="1" applyBorder="1" applyAlignment="1">
      <alignment horizontal="left" vertical="top" wrapText="1"/>
    </xf>
    <xf numFmtId="0" fontId="8" fillId="8" borderId="17" xfId="0" applyFont="1" applyFill="1" applyBorder="1" applyAlignment="1">
      <alignment horizontal="left" vertical="top" wrapText="1"/>
    </xf>
    <xf numFmtId="0" fontId="14" fillId="13" borderId="8" xfId="0" applyFont="1" applyFill="1" applyBorder="1" applyAlignment="1">
      <alignment wrapText="1"/>
    </xf>
    <xf numFmtId="0" fontId="14" fillId="13" borderId="17" xfId="0" applyFont="1" applyFill="1" applyBorder="1" applyAlignment="1">
      <alignment wrapText="1"/>
    </xf>
    <xf numFmtId="165" fontId="8" fillId="22" borderId="27" xfId="0" applyNumberFormat="1" applyFont="1" applyFill="1" applyBorder="1"/>
    <xf numFmtId="17" fontId="8" fillId="16" borderId="45" xfId="0" applyNumberFormat="1" applyFont="1" applyFill="1" applyBorder="1" applyAlignment="1">
      <alignment horizontal="left"/>
    </xf>
    <xf numFmtId="17" fontId="8" fillId="16" borderId="42" xfId="0" applyNumberFormat="1" applyFont="1" applyFill="1" applyBorder="1" applyAlignment="1">
      <alignment horizontal="left"/>
    </xf>
    <xf numFmtId="0" fontId="9" fillId="16" borderId="43" xfId="0" applyFont="1" applyFill="1" applyBorder="1"/>
    <xf numFmtId="0" fontId="9" fillId="22" borderId="22" xfId="0" applyFont="1" applyFill="1" applyBorder="1"/>
    <xf numFmtId="0" fontId="9" fillId="16" borderId="22" xfId="0" applyFont="1" applyFill="1" applyBorder="1"/>
    <xf numFmtId="0" fontId="9" fillId="16" borderId="46" xfId="0" applyFont="1" applyFill="1" applyBorder="1"/>
    <xf numFmtId="0" fontId="9" fillId="22" borderId="43" xfId="0" applyFont="1" applyFill="1" applyBorder="1"/>
    <xf numFmtId="0" fontId="9" fillId="22" borderId="46" xfId="0" applyFont="1" applyFill="1" applyBorder="1"/>
    <xf numFmtId="0" fontId="8" fillId="16" borderId="43" xfId="0" applyFont="1" applyFill="1" applyBorder="1"/>
    <xf numFmtId="0" fontId="8" fillId="16" borderId="22" xfId="0" applyFont="1" applyFill="1" applyBorder="1"/>
    <xf numFmtId="0" fontId="8" fillId="22" borderId="46" xfId="0" applyFont="1" applyFill="1" applyBorder="1"/>
    <xf numFmtId="0" fontId="8" fillId="22" borderId="22" xfId="0" applyFont="1" applyFill="1" applyBorder="1"/>
    <xf numFmtId="0" fontId="8" fillId="16" borderId="20" xfId="0" applyFont="1" applyFill="1" applyBorder="1"/>
    <xf numFmtId="17" fontId="8" fillId="22" borderId="45" xfId="0" applyNumberFormat="1" applyFont="1" applyFill="1" applyBorder="1" applyAlignment="1">
      <alignment horizontal="left"/>
    </xf>
    <xf numFmtId="17" fontId="8" fillId="12" borderId="14" xfId="0" applyNumberFormat="1" applyFont="1" applyFill="1" applyBorder="1" applyAlignment="1">
      <alignment horizontal="left"/>
    </xf>
    <xf numFmtId="17" fontId="8" fillId="12" borderId="30" xfId="0" applyNumberFormat="1" applyFont="1" applyFill="1" applyBorder="1" applyAlignment="1">
      <alignment horizontal="left"/>
    </xf>
    <xf numFmtId="0" fontId="9" fillId="22" borderId="20" xfId="0" applyFont="1" applyFill="1" applyBorder="1"/>
    <xf numFmtId="0" fontId="11" fillId="0" borderId="0" xfId="0" applyFont="1" applyAlignment="1">
      <alignment wrapText="1"/>
    </xf>
    <xf numFmtId="0" fontId="19" fillId="23" borderId="0" xfId="0" applyFont="1" applyFill="1" applyAlignment="1">
      <alignment horizontal="left" vertical="top" wrapText="1"/>
    </xf>
    <xf numFmtId="167" fontId="8" fillId="0" borderId="0" xfId="0" applyNumberFormat="1" applyFont="1" applyAlignment="1" applyProtection="1">
      <alignment horizontal="left" vertical="top" wrapText="1"/>
      <protection locked="0"/>
    </xf>
    <xf numFmtId="167" fontId="8" fillId="0" borderId="0" xfId="0" applyNumberFormat="1" applyFont="1" applyProtection="1">
      <protection locked="0"/>
    </xf>
    <xf numFmtId="167" fontId="8" fillId="0" borderId="0" xfId="0" applyNumberFormat="1" applyFont="1" applyAlignment="1" applyProtection="1">
      <alignment horizontal="left"/>
      <protection locked="0"/>
    </xf>
    <xf numFmtId="165" fontId="7" fillId="0" borderId="0" xfId="0" applyNumberFormat="1" applyFont="1" applyAlignment="1">
      <alignment horizontal="left" vertical="top" wrapText="1"/>
    </xf>
    <xf numFmtId="165" fontId="7" fillId="14" borderId="0" xfId="0" applyNumberFormat="1" applyFont="1" applyFill="1" applyAlignment="1">
      <alignment horizontal="left" vertical="top" wrapText="1"/>
    </xf>
    <xf numFmtId="165" fontId="14" fillId="8" borderId="0" xfId="0" applyNumberFormat="1" applyFont="1" applyFill="1" applyAlignment="1">
      <alignment horizontal="left" vertical="top"/>
    </xf>
    <xf numFmtId="0" fontId="8" fillId="6" borderId="11" xfId="0" applyFont="1" applyFill="1" applyBorder="1"/>
    <xf numFmtId="0" fontId="8" fillId="6" borderId="24" xfId="0" applyFont="1" applyFill="1" applyBorder="1"/>
    <xf numFmtId="166" fontId="8" fillId="16" borderId="0" xfId="0" applyNumberFormat="1" applyFont="1" applyFill="1"/>
    <xf numFmtId="0" fontId="8" fillId="8" borderId="0" xfId="0" quotePrefix="1" applyFont="1" applyFill="1" applyAlignment="1">
      <alignment horizontal="left" vertical="top" wrapText="1"/>
    </xf>
    <xf numFmtId="167" fontId="11" fillId="0" borderId="0" xfId="0" applyNumberFormat="1" applyFont="1" applyAlignment="1" applyProtection="1">
      <alignment horizontal="left" vertical="top" wrapText="1"/>
      <protection locked="0"/>
    </xf>
    <xf numFmtId="0" fontId="8" fillId="0" borderId="13" xfId="0" applyFont="1" applyBorder="1" applyProtection="1">
      <protection locked="0"/>
    </xf>
    <xf numFmtId="0" fontId="8" fillId="11" borderId="33" xfId="0" applyFont="1" applyFill="1" applyBorder="1" applyProtection="1">
      <protection locked="0"/>
    </xf>
    <xf numFmtId="0" fontId="8" fillId="10" borderId="23" xfId="0" applyFont="1" applyFill="1" applyBorder="1" applyProtection="1">
      <protection locked="0"/>
    </xf>
    <xf numFmtId="0" fontId="8" fillId="9" borderId="10" xfId="0" applyFont="1" applyFill="1" applyBorder="1" applyProtection="1">
      <protection locked="0"/>
    </xf>
    <xf numFmtId="0" fontId="9" fillId="9" borderId="38" xfId="0" applyFont="1" applyFill="1" applyBorder="1" applyProtection="1">
      <protection locked="0"/>
    </xf>
    <xf numFmtId="0" fontId="8" fillId="10" borderId="33" xfId="0" applyFont="1" applyFill="1" applyBorder="1" applyProtection="1">
      <protection locked="0"/>
    </xf>
    <xf numFmtId="0" fontId="8" fillId="10" borderId="11" xfId="0" applyFont="1" applyFill="1" applyBorder="1" applyProtection="1">
      <protection locked="0"/>
    </xf>
    <xf numFmtId="0" fontId="9" fillId="9" borderId="11" xfId="0" applyFont="1" applyFill="1" applyBorder="1" applyProtection="1">
      <protection locked="0"/>
    </xf>
    <xf numFmtId="0" fontId="9" fillId="10" borderId="38" xfId="0" applyFont="1" applyFill="1" applyBorder="1" applyProtection="1">
      <protection locked="0"/>
    </xf>
    <xf numFmtId="0" fontId="9" fillId="3" borderId="12" xfId="0" applyFont="1" applyFill="1" applyBorder="1" applyProtection="1">
      <protection locked="0"/>
    </xf>
    <xf numFmtId="0" fontId="9" fillId="3" borderId="3" xfId="0" applyFont="1" applyFill="1" applyBorder="1" applyProtection="1">
      <protection locked="0"/>
    </xf>
    <xf numFmtId="0" fontId="9" fillId="3" borderId="31" xfId="0" applyFont="1" applyFill="1" applyBorder="1" applyProtection="1">
      <protection locked="0"/>
    </xf>
    <xf numFmtId="0" fontId="8" fillId="17" borderId="12" xfId="0" applyFont="1" applyFill="1" applyBorder="1" applyProtection="1">
      <protection locked="0"/>
    </xf>
    <xf numFmtId="0" fontId="8" fillId="17" borderId="3" xfId="0" applyFont="1" applyFill="1" applyBorder="1" applyProtection="1">
      <protection locked="0"/>
    </xf>
    <xf numFmtId="0" fontId="8" fillId="17" borderId="31" xfId="0" applyFont="1" applyFill="1" applyBorder="1" applyProtection="1">
      <protection locked="0"/>
    </xf>
    <xf numFmtId="0" fontId="8" fillId="17" borderId="34" xfId="0" applyFont="1" applyFill="1" applyBorder="1" applyProtection="1">
      <protection locked="0"/>
    </xf>
    <xf numFmtId="0" fontId="8" fillId="17" borderId="36" xfId="0" applyFont="1" applyFill="1" applyBorder="1" applyProtection="1">
      <protection locked="0"/>
    </xf>
    <xf numFmtId="0" fontId="8" fillId="17" borderId="39" xfId="0" applyFont="1" applyFill="1" applyBorder="1" applyProtection="1">
      <protection locked="0"/>
    </xf>
    <xf numFmtId="0" fontId="8" fillId="15" borderId="34" xfId="0" applyFont="1" applyFill="1" applyBorder="1" applyProtection="1">
      <protection locked="0"/>
    </xf>
    <xf numFmtId="0" fontId="8" fillId="15" borderId="36" xfId="0" applyFont="1" applyFill="1" applyBorder="1" applyProtection="1">
      <protection locked="0"/>
    </xf>
    <xf numFmtId="0" fontId="8" fillId="17" borderId="40" xfId="0" applyFont="1" applyFill="1" applyBorder="1" applyProtection="1">
      <protection locked="0"/>
    </xf>
    <xf numFmtId="0" fontId="9" fillId="9" borderId="33" xfId="0" applyFont="1" applyFill="1" applyBorder="1" applyProtection="1">
      <protection locked="0"/>
    </xf>
    <xf numFmtId="0" fontId="9" fillId="10" borderId="11" xfId="0" applyFont="1" applyFill="1" applyBorder="1" applyProtection="1">
      <protection locked="0"/>
    </xf>
    <xf numFmtId="0" fontId="8" fillId="10" borderId="38" xfId="0" applyFont="1" applyFill="1" applyBorder="1" applyProtection="1">
      <protection locked="0"/>
    </xf>
    <xf numFmtId="167" fontId="8" fillId="9" borderId="18" xfId="0" applyNumberFormat="1" applyFont="1" applyFill="1" applyBorder="1" applyProtection="1">
      <protection locked="0"/>
    </xf>
    <xf numFmtId="167" fontId="8" fillId="10" borderId="18" xfId="0" applyNumberFormat="1" applyFont="1" applyFill="1" applyBorder="1" applyProtection="1">
      <protection locked="0"/>
    </xf>
    <xf numFmtId="167" fontId="8" fillId="10" borderId="22" xfId="0" applyNumberFormat="1" applyFont="1" applyFill="1" applyBorder="1" applyProtection="1">
      <protection locked="0"/>
    </xf>
    <xf numFmtId="0" fontId="8" fillId="0" borderId="14" xfId="0" applyFont="1" applyBorder="1" applyProtection="1">
      <protection locked="0"/>
    </xf>
    <xf numFmtId="0" fontId="8" fillId="0" borderId="30" xfId="0" applyFont="1" applyBorder="1" applyProtection="1">
      <protection locked="0"/>
    </xf>
    <xf numFmtId="17" fontId="8" fillId="0" borderId="13" xfId="0" applyNumberFormat="1" applyFont="1" applyBorder="1" applyAlignment="1" applyProtection="1">
      <alignment horizontal="left"/>
      <protection locked="0"/>
    </xf>
    <xf numFmtId="0" fontId="20" fillId="0" borderId="0" xfId="0" applyFont="1"/>
    <xf numFmtId="0" fontId="8" fillId="22" borderId="48" xfId="0" applyFont="1" applyFill="1" applyBorder="1"/>
    <xf numFmtId="0" fontId="8" fillId="16" borderId="18" xfId="0" applyFont="1" applyFill="1" applyBorder="1"/>
    <xf numFmtId="0" fontId="8" fillId="22" borderId="18" xfId="0" applyFont="1" applyFill="1" applyBorder="1"/>
    <xf numFmtId="0" fontId="8" fillId="16" borderId="48" xfId="0" applyFont="1" applyFill="1" applyBorder="1"/>
    <xf numFmtId="0" fontId="8" fillId="16" borderId="46" xfId="0" applyFont="1" applyFill="1" applyBorder="1"/>
    <xf numFmtId="0" fontId="8" fillId="16" borderId="24" xfId="0" applyFont="1" applyFill="1" applyBorder="1"/>
    <xf numFmtId="0" fontId="8" fillId="22" borderId="0" xfId="0" applyFont="1" applyFill="1"/>
    <xf numFmtId="0" fontId="8" fillId="16" borderId="0" xfId="0" applyFont="1" applyFill="1"/>
    <xf numFmtId="0" fontId="8" fillId="22" borderId="14" xfId="0" applyFont="1" applyFill="1" applyBorder="1"/>
    <xf numFmtId="0" fontId="8" fillId="22" borderId="30" xfId="0" applyFont="1" applyFill="1" applyBorder="1"/>
    <xf numFmtId="165" fontId="8" fillId="16" borderId="0" xfId="0" applyNumberFormat="1" applyFont="1" applyFill="1" applyAlignment="1">
      <alignment horizontal="right"/>
    </xf>
    <xf numFmtId="166" fontId="8" fillId="16" borderId="0" xfId="0" applyNumberFormat="1" applyFont="1" applyFill="1" applyAlignment="1">
      <alignment horizontal="right"/>
    </xf>
    <xf numFmtId="165" fontId="8" fillId="16" borderId="0" xfId="0" applyNumberFormat="1" applyFont="1" applyFill="1" applyAlignment="1">
      <alignment horizontal="left"/>
    </xf>
    <xf numFmtId="0" fontId="9" fillId="0" borderId="14" xfId="0" applyFont="1" applyBorder="1" applyProtection="1">
      <protection locked="0"/>
    </xf>
    <xf numFmtId="0" fontId="9" fillId="0" borderId="0" xfId="0" applyFont="1" applyProtection="1">
      <protection locked="0"/>
    </xf>
    <xf numFmtId="0" fontId="9" fillId="0" borderId="30" xfId="0" applyFont="1" applyBorder="1" applyProtection="1">
      <protection locked="0"/>
    </xf>
    <xf numFmtId="2" fontId="8" fillId="0" borderId="14" xfId="0" applyNumberFormat="1" applyFont="1" applyBorder="1" applyProtection="1">
      <protection locked="0"/>
    </xf>
    <xf numFmtId="2" fontId="8" fillId="0" borderId="30" xfId="0" applyNumberFormat="1" applyFont="1" applyBorder="1" applyProtection="1">
      <protection locked="0"/>
    </xf>
    <xf numFmtId="164" fontId="8" fillId="9" borderId="43" xfId="0" applyNumberFormat="1" applyFont="1" applyFill="1" applyBorder="1" applyProtection="1">
      <protection locked="0"/>
    </xf>
    <xf numFmtId="164" fontId="8" fillId="10" borderId="22" xfId="0" applyNumberFormat="1" applyFont="1" applyFill="1" applyBorder="1" applyProtection="1">
      <protection locked="0"/>
    </xf>
    <xf numFmtId="164" fontId="8" fillId="9" borderId="46" xfId="0" applyNumberFormat="1" applyFont="1" applyFill="1" applyBorder="1" applyProtection="1">
      <protection locked="0"/>
    </xf>
    <xf numFmtId="164" fontId="8" fillId="10" borderId="43" xfId="0" applyNumberFormat="1" applyFont="1" applyFill="1" applyBorder="1" applyProtection="1">
      <protection locked="0"/>
    </xf>
    <xf numFmtId="164" fontId="8" fillId="9" borderId="22" xfId="0" applyNumberFormat="1" applyFont="1" applyFill="1" applyBorder="1" applyProtection="1">
      <protection locked="0"/>
    </xf>
    <xf numFmtId="164" fontId="9" fillId="10" borderId="43" xfId="0" applyNumberFormat="1" applyFont="1" applyFill="1" applyBorder="1" applyProtection="1">
      <protection locked="0"/>
    </xf>
    <xf numFmtId="164" fontId="8" fillId="10" borderId="46" xfId="0" applyNumberFormat="1" applyFont="1" applyFill="1" applyBorder="1" applyProtection="1">
      <protection locked="0"/>
    </xf>
    <xf numFmtId="164" fontId="8" fillId="9" borderId="20" xfId="0" applyNumberFormat="1" applyFont="1" applyFill="1" applyBorder="1" applyProtection="1">
      <protection locked="0"/>
    </xf>
    <xf numFmtId="0" fontId="8" fillId="15" borderId="44" xfId="0" applyFont="1" applyFill="1" applyBorder="1" applyProtection="1">
      <protection locked="0"/>
    </xf>
    <xf numFmtId="0" fontId="8" fillId="17" borderId="44" xfId="0" applyFont="1" applyFill="1" applyBorder="1" applyProtection="1">
      <protection locked="0"/>
    </xf>
    <xf numFmtId="0" fontId="8" fillId="17" borderId="47" xfId="0" applyFont="1" applyFill="1" applyBorder="1" applyProtection="1">
      <protection locked="0"/>
    </xf>
    <xf numFmtId="164" fontId="8" fillId="10" borderId="20" xfId="0" applyNumberFormat="1" applyFont="1" applyFill="1" applyBorder="1" applyProtection="1">
      <protection locked="0"/>
    </xf>
    <xf numFmtId="164" fontId="9" fillId="9" borderId="43" xfId="0" applyNumberFormat="1" applyFont="1" applyFill="1" applyBorder="1" applyProtection="1">
      <protection locked="0"/>
    </xf>
    <xf numFmtId="0" fontId="9" fillId="3" borderId="44" xfId="0" applyFont="1" applyFill="1" applyBorder="1" applyProtection="1">
      <protection locked="0"/>
    </xf>
    <xf numFmtId="164" fontId="9" fillId="10" borderId="22" xfId="0" applyNumberFormat="1" applyFont="1" applyFill="1" applyBorder="1" applyProtection="1">
      <protection locked="0"/>
    </xf>
    <xf numFmtId="0" fontId="9" fillId="3" borderId="40" xfId="0" applyFont="1" applyFill="1" applyBorder="1" applyProtection="1">
      <protection locked="0"/>
    </xf>
    <xf numFmtId="164" fontId="9" fillId="9" borderId="22" xfId="0" applyNumberFormat="1" applyFont="1" applyFill="1" applyBorder="1" applyProtection="1">
      <protection locked="0"/>
    </xf>
    <xf numFmtId="164" fontId="9" fillId="10" borderId="46" xfId="0" applyNumberFormat="1" applyFont="1" applyFill="1" applyBorder="1" applyProtection="1">
      <protection locked="0"/>
    </xf>
    <xf numFmtId="164" fontId="8" fillId="10" borderId="27" xfId="0" applyNumberFormat="1" applyFont="1" applyFill="1" applyBorder="1" applyProtection="1">
      <protection locked="0"/>
    </xf>
    <xf numFmtId="164" fontId="8" fillId="9" borderId="27" xfId="0" applyNumberFormat="1" applyFont="1" applyFill="1" applyBorder="1" applyProtection="1">
      <protection locked="0"/>
    </xf>
    <xf numFmtId="14" fontId="8" fillId="0" borderId="13" xfId="0" applyNumberFormat="1" applyFont="1" applyBorder="1" applyProtection="1">
      <protection locked="0"/>
    </xf>
    <xf numFmtId="14" fontId="8" fillId="12" borderId="15" xfId="0" applyNumberFormat="1" applyFont="1" applyFill="1" applyBorder="1"/>
    <xf numFmtId="14" fontId="8" fillId="12" borderId="29" xfId="0" applyNumberFormat="1" applyFont="1" applyFill="1" applyBorder="1"/>
    <xf numFmtId="0" fontId="8" fillId="3" borderId="0" xfId="0" applyFont="1" applyFill="1" applyProtection="1">
      <protection locked="0"/>
    </xf>
    <xf numFmtId="164" fontId="8" fillId="0" borderId="0" xfId="0" applyNumberFormat="1" applyFont="1" applyProtection="1">
      <protection locked="0"/>
    </xf>
    <xf numFmtId="1" fontId="8" fillId="3" borderId="0" xfId="0" applyNumberFormat="1" applyFont="1" applyFill="1" applyProtection="1">
      <protection locked="0"/>
    </xf>
    <xf numFmtId="168" fontId="8" fillId="0" borderId="0" xfId="0" applyNumberFormat="1" applyFont="1"/>
    <xf numFmtId="165" fontId="12" fillId="0" borderId="0" xfId="0" applyNumberFormat="1" applyFont="1" applyProtection="1">
      <protection locked="0"/>
    </xf>
    <xf numFmtId="0" fontId="8" fillId="2" borderId="0" xfId="0" applyFont="1" applyFill="1" applyAlignment="1">
      <alignment horizontal="right"/>
    </xf>
    <xf numFmtId="164" fontId="8" fillId="2" borderId="0" xfId="0" applyNumberFormat="1" applyFont="1" applyFill="1" applyAlignment="1">
      <alignment horizontal="right"/>
    </xf>
    <xf numFmtId="0" fontId="2" fillId="0" borderId="2" xfId="0" applyFont="1" applyBorder="1"/>
    <xf numFmtId="0" fontId="10" fillId="0" borderId="0" xfId="0" applyFont="1" applyAlignment="1">
      <alignment wrapText="1"/>
    </xf>
    <xf numFmtId="0" fontId="11" fillId="0" borderId="15" xfId="0" applyFont="1" applyBorder="1" applyAlignment="1">
      <alignment wrapText="1"/>
    </xf>
    <xf numFmtId="0" fontId="7" fillId="0" borderId="4" xfId="0" applyFont="1" applyBorder="1"/>
    <xf numFmtId="0" fontId="8" fillId="0" borderId="5" xfId="0" applyFont="1" applyBorder="1"/>
    <xf numFmtId="0" fontId="23" fillId="0" borderId="5" xfId="1" applyFont="1" applyBorder="1"/>
    <xf numFmtId="0" fontId="7" fillId="24" borderId="4" xfId="0" applyFont="1" applyFill="1" applyBorder="1" applyAlignment="1">
      <alignment horizontal="left" vertical="top" wrapText="1"/>
    </xf>
    <xf numFmtId="0" fontId="8" fillId="24" borderId="6" xfId="0" applyFont="1" applyFill="1" applyBorder="1" applyAlignment="1">
      <alignment horizontal="left" vertical="top" wrapText="1"/>
    </xf>
    <xf numFmtId="0" fontId="8" fillId="24" borderId="5" xfId="0" applyFont="1" applyFill="1" applyBorder="1" applyAlignment="1">
      <alignment horizontal="left" vertical="top" wrapText="1"/>
    </xf>
    <xf numFmtId="0" fontId="14" fillId="8" borderId="8" xfId="0" applyFont="1" applyFill="1" applyBorder="1" applyAlignment="1">
      <alignment horizontal="left" vertical="top" wrapText="1"/>
    </xf>
    <xf numFmtId="0" fontId="9" fillId="12" borderId="14" xfId="0" applyFont="1" applyFill="1" applyBorder="1"/>
    <xf numFmtId="0" fontId="9" fillId="12" borderId="30" xfId="0" applyFont="1" applyFill="1" applyBorder="1"/>
    <xf numFmtId="49" fontId="14" fillId="13" borderId="25" xfId="0" applyNumberFormat="1" applyFont="1" applyFill="1" applyBorder="1" applyAlignment="1">
      <alignment horizontal="left" vertical="top" wrapText="1"/>
    </xf>
    <xf numFmtId="2" fontId="8" fillId="0" borderId="14" xfId="0" applyNumberFormat="1" applyFont="1" applyBorder="1" applyAlignment="1" applyProtection="1">
      <alignment horizontal="right"/>
      <protection locked="0"/>
    </xf>
    <xf numFmtId="2" fontId="8" fillId="0" borderId="0" xfId="0" applyNumberFormat="1" applyFont="1" applyAlignment="1" applyProtection="1">
      <alignment horizontal="right"/>
      <protection locked="0"/>
    </xf>
    <xf numFmtId="2" fontId="8" fillId="0" borderId="30" xfId="0" applyNumberFormat="1" applyFont="1" applyBorder="1" applyAlignment="1" applyProtection="1">
      <alignment horizontal="right"/>
      <protection locked="0"/>
    </xf>
    <xf numFmtId="49" fontId="8" fillId="11" borderId="33" xfId="0" applyNumberFormat="1" applyFont="1" applyFill="1" applyBorder="1" applyAlignment="1" applyProtection="1">
      <alignment horizontal="right"/>
      <protection locked="0"/>
    </xf>
    <xf numFmtId="49" fontId="8" fillId="10" borderId="23" xfId="0" applyNumberFormat="1" applyFont="1" applyFill="1" applyBorder="1" applyAlignment="1" applyProtection="1">
      <alignment horizontal="right"/>
      <protection locked="0"/>
    </xf>
    <xf numFmtId="49" fontId="8" fillId="9" borderId="10" xfId="0" applyNumberFormat="1" applyFont="1" applyFill="1" applyBorder="1" applyAlignment="1" applyProtection="1">
      <alignment horizontal="right"/>
      <protection locked="0"/>
    </xf>
    <xf numFmtId="49" fontId="9" fillId="9" borderId="38" xfId="0" applyNumberFormat="1" applyFont="1" applyFill="1" applyBorder="1" applyAlignment="1" applyProtection="1">
      <alignment horizontal="right"/>
      <protection locked="0"/>
    </xf>
    <xf numFmtId="0" fontId="8" fillId="11" borderId="33" xfId="0" applyFont="1" applyFill="1" applyBorder="1" applyAlignment="1" applyProtection="1">
      <alignment horizontal="right"/>
      <protection locked="0"/>
    </xf>
    <xf numFmtId="0" fontId="8" fillId="10" borderId="23" xfId="0" applyFont="1" applyFill="1" applyBorder="1" applyAlignment="1" applyProtection="1">
      <alignment horizontal="right"/>
      <protection locked="0"/>
    </xf>
    <xf numFmtId="0" fontId="8" fillId="9" borderId="10" xfId="0" applyFont="1" applyFill="1" applyBorder="1" applyAlignment="1" applyProtection="1">
      <alignment horizontal="right"/>
      <protection locked="0"/>
    </xf>
    <xf numFmtId="0" fontId="9" fillId="9" borderId="38" xfId="0" applyFont="1" applyFill="1" applyBorder="1" applyAlignment="1" applyProtection="1">
      <alignment horizontal="right"/>
      <protection locked="0"/>
    </xf>
    <xf numFmtId="0" fontId="8" fillId="10" borderId="33" xfId="0" applyFont="1" applyFill="1" applyBorder="1" applyAlignment="1" applyProtection="1">
      <alignment horizontal="right"/>
      <protection locked="0"/>
    </xf>
    <xf numFmtId="0" fontId="8" fillId="10" borderId="11" xfId="0" applyFont="1" applyFill="1" applyBorder="1" applyAlignment="1" applyProtection="1">
      <alignment horizontal="right"/>
      <protection locked="0"/>
    </xf>
    <xf numFmtId="0" fontId="9" fillId="9" borderId="11" xfId="0" applyFont="1" applyFill="1" applyBorder="1" applyAlignment="1" applyProtection="1">
      <alignment horizontal="right"/>
      <protection locked="0"/>
    </xf>
    <xf numFmtId="0" fontId="9" fillId="10" borderId="38" xfId="0" applyFont="1" applyFill="1" applyBorder="1" applyAlignment="1" applyProtection="1">
      <alignment horizontal="right"/>
      <protection locked="0"/>
    </xf>
    <xf numFmtId="0" fontId="9" fillId="9" borderId="33" xfId="0" applyFont="1" applyFill="1" applyBorder="1" applyAlignment="1" applyProtection="1">
      <alignment horizontal="right"/>
      <protection locked="0"/>
    </xf>
    <xf numFmtId="0" fontId="9" fillId="10" borderId="11" xfId="0" applyFont="1" applyFill="1" applyBorder="1" applyAlignment="1" applyProtection="1">
      <alignment horizontal="right"/>
      <protection locked="0"/>
    </xf>
    <xf numFmtId="0" fontId="8" fillId="10" borderId="38" xfId="0" applyFont="1" applyFill="1" applyBorder="1" applyAlignment="1" applyProtection="1">
      <alignment horizontal="right"/>
      <protection locked="0"/>
    </xf>
    <xf numFmtId="0" fontId="14" fillId="13" borderId="28" xfId="0" applyFont="1" applyFill="1" applyBorder="1" applyAlignment="1">
      <alignment wrapText="1"/>
    </xf>
    <xf numFmtId="0" fontId="14" fillId="13" borderId="20" xfId="0" applyFont="1" applyFill="1" applyBorder="1" applyAlignment="1">
      <alignment wrapText="1"/>
    </xf>
    <xf numFmtId="0" fontId="14" fillId="13" borderId="0" xfId="0" applyFont="1" applyFill="1" applyAlignment="1">
      <alignment wrapText="1"/>
    </xf>
    <xf numFmtId="164" fontId="9" fillId="9" borderId="43" xfId="0" applyNumberFormat="1" applyFont="1" applyFill="1" applyBorder="1" applyAlignment="1" applyProtection="1">
      <alignment horizontal="right"/>
      <protection locked="0"/>
    </xf>
    <xf numFmtId="164" fontId="9" fillId="10" borderId="22" xfId="0" applyNumberFormat="1" applyFont="1" applyFill="1" applyBorder="1" applyAlignment="1" applyProtection="1">
      <alignment horizontal="right"/>
      <protection locked="0"/>
    </xf>
    <xf numFmtId="164" fontId="9" fillId="9" borderId="22" xfId="0" applyNumberFormat="1" applyFont="1" applyFill="1" applyBorder="1" applyAlignment="1" applyProtection="1">
      <alignment horizontal="right"/>
      <protection locked="0"/>
    </xf>
    <xf numFmtId="164" fontId="8" fillId="9" borderId="43" xfId="0" applyNumberFormat="1" applyFont="1" applyFill="1" applyBorder="1" applyAlignment="1" applyProtection="1">
      <alignment horizontal="right"/>
      <protection locked="0"/>
    </xf>
    <xf numFmtId="164" fontId="8" fillId="10" borderId="22" xfId="0" applyNumberFormat="1" applyFont="1" applyFill="1" applyBorder="1" applyAlignment="1" applyProtection="1">
      <alignment horizontal="right"/>
      <protection locked="0"/>
    </xf>
    <xf numFmtId="164" fontId="8" fillId="9" borderId="46" xfId="0" applyNumberFormat="1" applyFont="1" applyFill="1" applyBorder="1" applyAlignment="1" applyProtection="1">
      <alignment horizontal="right"/>
      <protection locked="0"/>
    </xf>
    <xf numFmtId="164" fontId="9" fillId="10" borderId="43" xfId="0" applyNumberFormat="1" applyFont="1" applyFill="1" applyBorder="1" applyAlignment="1" applyProtection="1">
      <alignment horizontal="right"/>
      <protection locked="0"/>
    </xf>
    <xf numFmtId="164" fontId="9" fillId="10" borderId="46" xfId="0" applyNumberFormat="1" applyFont="1" applyFill="1" applyBorder="1" applyAlignment="1" applyProtection="1">
      <alignment horizontal="right"/>
      <protection locked="0"/>
    </xf>
    <xf numFmtId="164" fontId="8" fillId="10" borderId="20" xfId="0" applyNumberFormat="1" applyFont="1" applyFill="1" applyBorder="1" applyAlignment="1" applyProtection="1">
      <alignment horizontal="right"/>
      <protection locked="0"/>
    </xf>
    <xf numFmtId="164" fontId="8" fillId="9" borderId="22" xfId="0" applyNumberFormat="1" applyFont="1" applyFill="1" applyBorder="1" applyAlignment="1" applyProtection="1">
      <alignment horizontal="right"/>
      <protection locked="0"/>
    </xf>
    <xf numFmtId="164" fontId="8" fillId="10" borderId="46" xfId="0" applyNumberFormat="1" applyFont="1" applyFill="1" applyBorder="1" applyAlignment="1" applyProtection="1">
      <alignment horizontal="right"/>
      <protection locked="0"/>
    </xf>
    <xf numFmtId="164" fontId="8" fillId="10" borderId="43" xfId="0" applyNumberFormat="1" applyFont="1" applyFill="1" applyBorder="1" applyAlignment="1" applyProtection="1">
      <alignment horizontal="right"/>
      <protection locked="0"/>
    </xf>
    <xf numFmtId="164" fontId="8" fillId="9" borderId="20" xfId="0" applyNumberFormat="1" applyFont="1" applyFill="1" applyBorder="1" applyAlignment="1" applyProtection="1">
      <alignment horizontal="right"/>
      <protection locked="0"/>
    </xf>
    <xf numFmtId="164" fontId="8" fillId="9" borderId="14" xfId="0" applyNumberFormat="1" applyFont="1" applyFill="1" applyBorder="1" applyProtection="1">
      <protection locked="0"/>
    </xf>
    <xf numFmtId="164" fontId="8" fillId="9" borderId="52" xfId="0" applyNumberFormat="1" applyFont="1" applyFill="1" applyBorder="1" applyProtection="1">
      <protection locked="0"/>
    </xf>
    <xf numFmtId="164" fontId="8" fillId="9" borderId="14" xfId="0" applyNumberFormat="1" applyFont="1" applyFill="1" applyBorder="1" applyAlignment="1" applyProtection="1">
      <alignment horizontal="right"/>
      <protection locked="0"/>
    </xf>
    <xf numFmtId="164" fontId="8" fillId="10" borderId="27" xfId="0" applyNumberFormat="1" applyFont="1" applyFill="1" applyBorder="1" applyAlignment="1" applyProtection="1">
      <alignment horizontal="right"/>
      <protection locked="0"/>
    </xf>
    <xf numFmtId="164" fontId="8" fillId="9" borderId="52" xfId="0" applyNumberFormat="1" applyFont="1" applyFill="1" applyBorder="1" applyAlignment="1" applyProtection="1">
      <alignment horizontal="right"/>
      <protection locked="0"/>
    </xf>
    <xf numFmtId="164" fontId="8" fillId="10" borderId="0" xfId="0" applyNumberFormat="1" applyFont="1" applyFill="1" applyProtection="1">
      <protection locked="0"/>
    </xf>
    <xf numFmtId="0" fontId="8" fillId="16" borderId="14" xfId="0" applyFont="1" applyFill="1" applyBorder="1"/>
    <xf numFmtId="0" fontId="8" fillId="12" borderId="51" xfId="0" applyFont="1" applyFill="1" applyBorder="1"/>
    <xf numFmtId="0" fontId="8" fillId="12" borderId="49" xfId="0" applyFont="1" applyFill="1" applyBorder="1"/>
    <xf numFmtId="0" fontId="8" fillId="12" borderId="50" xfId="0" applyFont="1" applyFill="1" applyBorder="1"/>
    <xf numFmtId="0" fontId="8" fillId="12" borderId="4" xfId="0" applyFont="1" applyFill="1" applyBorder="1"/>
    <xf numFmtId="0" fontId="8" fillId="12" borderId="6" xfId="0" applyFont="1" applyFill="1" applyBorder="1"/>
    <xf numFmtId="0" fontId="8" fillId="12" borderId="5" xfId="0" applyFont="1" applyFill="1" applyBorder="1"/>
    <xf numFmtId="0" fontId="8" fillId="0" borderId="4" xfId="0" applyFont="1" applyBorder="1" applyProtection="1">
      <protection locked="0"/>
    </xf>
    <xf numFmtId="0" fontId="8" fillId="11" borderId="32" xfId="0" applyFont="1" applyFill="1" applyBorder="1" applyProtection="1">
      <protection locked="0"/>
    </xf>
    <xf numFmtId="0" fontId="8" fillId="10" borderId="41" xfId="0" applyFont="1" applyFill="1" applyBorder="1" applyProtection="1">
      <protection locked="0"/>
    </xf>
    <xf numFmtId="0" fontId="9" fillId="12" borderId="0" xfId="0" applyFont="1" applyFill="1"/>
    <xf numFmtId="0" fontId="8" fillId="9" borderId="35" xfId="0" applyFont="1" applyFill="1" applyBorder="1" applyProtection="1">
      <protection locked="0"/>
    </xf>
    <xf numFmtId="0" fontId="9" fillId="9" borderId="37" xfId="0" applyFont="1" applyFill="1" applyBorder="1" applyProtection="1">
      <protection locked="0"/>
    </xf>
    <xf numFmtId="0" fontId="8" fillId="10" borderId="35" xfId="0" applyFont="1" applyFill="1" applyBorder="1" applyProtection="1">
      <protection locked="0"/>
    </xf>
    <xf numFmtId="0" fontId="8" fillId="10" borderId="32" xfId="0" applyFont="1" applyFill="1" applyBorder="1" applyProtection="1">
      <protection locked="0"/>
    </xf>
    <xf numFmtId="0" fontId="9" fillId="9" borderId="35" xfId="0" applyFont="1" applyFill="1" applyBorder="1" applyProtection="1">
      <protection locked="0"/>
    </xf>
    <xf numFmtId="0" fontId="9" fillId="10" borderId="37" xfId="0" applyFont="1" applyFill="1" applyBorder="1" applyProtection="1">
      <protection locked="0"/>
    </xf>
    <xf numFmtId="0" fontId="9" fillId="9" borderId="32" xfId="0" applyFont="1" applyFill="1" applyBorder="1" applyProtection="1">
      <protection locked="0"/>
    </xf>
    <xf numFmtId="0" fontId="9" fillId="10" borderId="35" xfId="0" applyFont="1" applyFill="1" applyBorder="1" applyProtection="1">
      <protection locked="0"/>
    </xf>
    <xf numFmtId="0" fontId="8" fillId="10" borderId="37" xfId="0" applyFont="1" applyFill="1" applyBorder="1" applyProtection="1">
      <protection locked="0"/>
    </xf>
    <xf numFmtId="164" fontId="9" fillId="10" borderId="14" xfId="0" applyNumberFormat="1" applyFont="1" applyFill="1" applyBorder="1" applyProtection="1">
      <protection locked="0"/>
    </xf>
    <xf numFmtId="164" fontId="8" fillId="9" borderId="30" xfId="0" applyNumberFormat="1" applyFont="1" applyFill="1" applyBorder="1" applyProtection="1">
      <protection locked="0"/>
    </xf>
    <xf numFmtId="164" fontId="8" fillId="10" borderId="52" xfId="0" applyNumberFormat="1" applyFont="1" applyFill="1" applyBorder="1" applyProtection="1">
      <protection locked="0"/>
    </xf>
    <xf numFmtId="0" fontId="8" fillId="0" borderId="14" xfId="0" applyFont="1" applyBorder="1" applyAlignment="1" applyProtection="1">
      <alignment horizontal="right"/>
      <protection locked="0"/>
    </xf>
    <xf numFmtId="0" fontId="8" fillId="0" borderId="0" xfId="0" applyFont="1" applyAlignment="1" applyProtection="1">
      <alignment horizontal="right"/>
      <protection locked="0"/>
    </xf>
    <xf numFmtId="0" fontId="8" fillId="0" borderId="30" xfId="0" applyFont="1" applyBorder="1" applyAlignment="1" applyProtection="1">
      <alignment horizontal="right"/>
      <protection locked="0"/>
    </xf>
    <xf numFmtId="0" fontId="10" fillId="0" borderId="0" xfId="0" applyFont="1" applyAlignment="1">
      <alignment vertical="center"/>
    </xf>
    <xf numFmtId="0" fontId="11" fillId="0" borderId="0" xfId="0" applyFont="1" applyAlignment="1">
      <alignment vertical="center"/>
    </xf>
    <xf numFmtId="49" fontId="7" fillId="0" borderId="0" xfId="0" applyNumberFormat="1" applyFont="1"/>
    <xf numFmtId="0" fontId="11" fillId="0" borderId="15" xfId="0" applyFont="1" applyBorder="1"/>
    <xf numFmtId="0" fontId="11" fillId="0" borderId="1" xfId="0" applyFont="1" applyBorder="1"/>
    <xf numFmtId="0" fontId="8" fillId="2" borderId="26" xfId="0" applyFont="1" applyFill="1" applyBorder="1"/>
    <xf numFmtId="0" fontId="8" fillId="2" borderId="53" xfId="0" applyFont="1" applyFill="1" applyBorder="1"/>
    <xf numFmtId="0" fontId="8" fillId="2" borderId="27" xfId="0" applyFont="1" applyFill="1" applyBorder="1"/>
    <xf numFmtId="0" fontId="8" fillId="2" borderId="22" xfId="0" applyFont="1" applyFill="1" applyBorder="1"/>
    <xf numFmtId="165" fontId="14" fillId="8" borderId="20" xfId="0" applyNumberFormat="1" applyFont="1" applyFill="1" applyBorder="1" applyAlignment="1">
      <alignment horizontal="left" vertical="top" wrapText="1"/>
    </xf>
    <xf numFmtId="165" fontId="8" fillId="2" borderId="26" xfId="0" applyNumberFormat="1" applyFont="1" applyFill="1" applyBorder="1"/>
    <xf numFmtId="1" fontId="8" fillId="2" borderId="53" xfId="0" applyNumberFormat="1" applyFont="1" applyFill="1" applyBorder="1" applyAlignment="1">
      <alignment horizontal="right"/>
    </xf>
    <xf numFmtId="165" fontId="8" fillId="2" borderId="27" xfId="0" applyNumberFormat="1" applyFont="1" applyFill="1" applyBorder="1"/>
    <xf numFmtId="1" fontId="8" fillId="2" borderId="22" xfId="0" applyNumberFormat="1" applyFont="1" applyFill="1" applyBorder="1" applyAlignment="1">
      <alignment horizontal="right"/>
    </xf>
    <xf numFmtId="0" fontId="2" fillId="25" borderId="1" xfId="0" applyFont="1" applyFill="1" applyBorder="1"/>
    <xf numFmtId="0" fontId="2" fillId="26" borderId="1" xfId="0" applyFont="1" applyFill="1" applyBorder="1"/>
    <xf numFmtId="0" fontId="2" fillId="5" borderId="1" xfId="0" applyFont="1" applyFill="1" applyBorder="1"/>
    <xf numFmtId="166" fontId="8" fillId="0" borderId="0" xfId="0" applyNumberFormat="1" applyFont="1"/>
    <xf numFmtId="0" fontId="8" fillId="16" borderId="13" xfId="0" applyFont="1" applyFill="1" applyBorder="1"/>
    <xf numFmtId="0" fontId="8" fillId="22" borderId="45" xfId="0" applyFont="1" applyFill="1" applyBorder="1"/>
    <xf numFmtId="0" fontId="8" fillId="16" borderId="45" xfId="0" applyFont="1" applyFill="1" applyBorder="1"/>
    <xf numFmtId="0" fontId="8" fillId="12" borderId="45" xfId="0" applyFont="1" applyFill="1" applyBorder="1"/>
    <xf numFmtId="0" fontId="8" fillId="12" borderId="42" xfId="0" applyFont="1" applyFill="1" applyBorder="1"/>
    <xf numFmtId="0" fontId="23" fillId="0" borderId="1" xfId="1" applyFont="1" applyBorder="1" applyAlignment="1"/>
    <xf numFmtId="0" fontId="23" fillId="0" borderId="1" xfId="1" applyFont="1" applyBorder="1"/>
    <xf numFmtId="164" fontId="8" fillId="2" borderId="53" xfId="0" applyNumberFormat="1" applyFont="1" applyFill="1" applyBorder="1" applyAlignment="1">
      <alignment horizontal="right"/>
    </xf>
    <xf numFmtId="164" fontId="8" fillId="2" borderId="22" xfId="0" applyNumberFormat="1" applyFont="1" applyFill="1" applyBorder="1" applyAlignment="1">
      <alignment horizontal="right"/>
    </xf>
    <xf numFmtId="0" fontId="0" fillId="2" borderId="10" xfId="0" applyFill="1" applyBorder="1"/>
    <xf numFmtId="1" fontId="0" fillId="2" borderId="11" xfId="0" applyNumberFormat="1" applyFill="1" applyBorder="1"/>
  </cellXfs>
  <cellStyles count="2">
    <cellStyle name="Hyperlink" xfId="1" builtinId="8"/>
    <cellStyle name="Normal" xfId="0" builtinId="0"/>
  </cellStyles>
  <dxfs count="489">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59999389629810485"/>
        </patternFill>
      </fill>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Montserrat"/>
        <scheme val="none"/>
      </font>
      <numFmt numFmtId="165" formatCode="0;0;;@"/>
      <fill>
        <patternFill patternType="solid">
          <fgColor indexed="64"/>
          <bgColor theme="0" tint="-0.14999847407452621"/>
        </patternFill>
      </fill>
      <protection locked="0" hidden="0"/>
    </dxf>
    <dxf>
      <font>
        <strike val="0"/>
        <outline val="0"/>
        <shadow val="0"/>
        <u val="none"/>
        <vertAlign val="baseline"/>
        <sz val="11"/>
        <name val="Montserrat"/>
        <scheme val="none"/>
      </font>
      <numFmt numFmtId="2" formatCode="0.00"/>
      <protection locked="0" hidden="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numFmt numFmtId="1" formatCode="0"/>
      <protection locked="0" hidden="0"/>
    </dxf>
    <dxf>
      <font>
        <b val="0"/>
        <i val="0"/>
        <strike val="0"/>
        <condense val="0"/>
        <extend val="0"/>
        <outline val="0"/>
        <shadow val="0"/>
        <u val="none"/>
        <vertAlign val="baseline"/>
        <sz val="11"/>
        <color theme="1"/>
        <name val="Montserrat"/>
        <scheme val="none"/>
      </font>
      <numFmt numFmtId="1" formatCode="0"/>
      <alignment horizontal="left" vertical="bottom" textRotation="0" wrapText="0" indent="0" justifyLastLine="0" shrinkToFit="0" readingOrder="0"/>
      <protection locked="0" hidden="0"/>
    </dxf>
    <dxf>
      <font>
        <strike val="0"/>
        <outline val="0"/>
        <shadow val="0"/>
        <u val="none"/>
        <vertAlign val="baseline"/>
        <sz val="11"/>
        <name val="Montserrat"/>
        <scheme val="none"/>
      </font>
      <numFmt numFmtId="167" formatCode="dd\-mm\-yyyy"/>
      <alignment horizontal="left" vertical="bottom" textRotation="0" wrapText="0" indent="0" justifyLastLine="0" shrinkToFit="0" readingOrder="0"/>
      <protection locked="0" hidden="0"/>
    </dxf>
    <dxf>
      <font>
        <strike val="0"/>
        <outline val="0"/>
        <shadow val="0"/>
        <u val="none"/>
        <vertAlign val="baseline"/>
        <sz val="11"/>
        <name val="Montserrat"/>
        <scheme val="none"/>
      </font>
      <protection locked="0" hidden="0"/>
    </dxf>
    <dxf>
      <font>
        <b/>
        <i val="0"/>
        <strike val="0"/>
        <condense val="0"/>
        <extend val="0"/>
        <outline val="0"/>
        <shadow val="0"/>
        <u val="none"/>
        <vertAlign val="baseline"/>
        <sz val="11"/>
        <color theme="1"/>
        <name val="Montserrat"/>
        <scheme val="none"/>
      </font>
      <fill>
        <patternFill patternType="none">
          <fgColor indexed="64"/>
          <bgColor auto="1"/>
        </patternFill>
      </fill>
      <alignment horizontal="left" vertical="top" textRotation="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59999389629810485"/>
        </patternFill>
      </fill>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Montserrat"/>
        <scheme val="none"/>
      </font>
      <fill>
        <patternFill patternType="solid">
          <fgColor indexed="64"/>
          <bgColor theme="5" tint="0.59999389629810485"/>
        </patternFill>
      </fill>
      <border diagonalUp="0" diagonalDown="0">
        <left/>
        <right/>
        <top style="thin">
          <color theme="0"/>
        </top>
        <bottom/>
        <vertical/>
        <horizontal/>
      </border>
    </dxf>
    <dxf>
      <border outline="0">
        <left style="thin">
          <color theme="0"/>
        </left>
      </border>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wrapText="1" indent="0" justifyLastLine="0" shrinkToFit="0" readingOrder="0"/>
    </dxf>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59999389629810485"/>
        </patternFill>
      </fill>
    </dxf>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59999389629810485"/>
        </patternFill>
      </fill>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59999389629810485"/>
        </patternFill>
      </fill>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59999389629810485"/>
        </patternFill>
      </fill>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59999389629810485"/>
        </patternFill>
      </fill>
      <border diagonalUp="0" diagonalDown="0">
        <left/>
        <right/>
        <top style="thin">
          <color theme="0"/>
        </top>
        <bottom/>
        <vertical/>
        <horizontal/>
      </border>
    </dxf>
    <dxf>
      <border outline="0">
        <left style="thin">
          <color theme="0"/>
        </left>
      </border>
    </dxf>
    <dxf>
      <font>
        <b val="0"/>
        <i val="0"/>
        <strike val="0"/>
        <condense val="0"/>
        <extend val="0"/>
        <outline val="0"/>
        <shadow val="0"/>
        <u val="none"/>
        <vertAlign val="baseline"/>
        <sz val="11"/>
        <color theme="1"/>
        <name val="Montserrat"/>
        <scheme val="none"/>
      </font>
      <fill>
        <patternFill patternType="solid">
          <fgColor indexed="64"/>
          <bgColor theme="5" tint="0.59999389629810485"/>
        </patternFill>
      </fill>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wrapText="1" indent="0" justifyLastLine="0" shrinkToFit="0" readingOrder="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protection locked="0" hidden="0"/>
    </dxf>
    <dxf>
      <font>
        <b val="0"/>
        <i val="0"/>
        <strike val="0"/>
        <condense val="0"/>
        <extend val="0"/>
        <outline val="0"/>
        <shadow val="0"/>
        <u val="none"/>
        <vertAlign val="baseline"/>
        <sz val="11"/>
        <color theme="1"/>
        <name val="Montserrat"/>
        <scheme val="none"/>
      </font>
      <protection locked="0" hidden="0"/>
    </dxf>
    <dxf>
      <font>
        <strike val="0"/>
        <outline val="0"/>
        <shadow val="0"/>
        <u val="none"/>
        <vertAlign val="baseline"/>
        <sz val="11"/>
        <name val="Montserrat"/>
        <scheme val="none"/>
      </font>
      <protection locked="0" hidden="0"/>
    </dxf>
    <dxf>
      <font>
        <b val="0"/>
        <i val="0"/>
        <strike val="0"/>
        <condense val="0"/>
        <extend val="0"/>
        <outline val="0"/>
        <shadow val="0"/>
        <u val="none"/>
        <vertAlign val="baseline"/>
        <sz val="11"/>
        <color theme="1"/>
        <name val="Montserrat"/>
        <scheme val="none"/>
      </font>
      <numFmt numFmtId="169" formatCode="yyyy\-mm\-dd"/>
      <protection locked="0" hidden="0"/>
    </dxf>
    <dxf>
      <font>
        <b val="0"/>
        <i val="0"/>
        <strike val="0"/>
        <condense val="0"/>
        <extend val="0"/>
        <outline val="0"/>
        <shadow val="0"/>
        <u val="none"/>
        <vertAlign val="baseline"/>
        <sz val="11"/>
        <color theme="1"/>
        <name val="Montserrat"/>
        <scheme val="none"/>
      </font>
      <numFmt numFmtId="169" formatCode="yyyy\-mm\-dd"/>
      <protection locked="0" hidden="0"/>
    </dxf>
    <dxf>
      <font>
        <b val="0"/>
        <i val="0"/>
        <strike val="0"/>
        <condense val="0"/>
        <extend val="0"/>
        <outline val="0"/>
        <shadow val="0"/>
        <u val="none"/>
        <vertAlign val="baseline"/>
        <sz val="11"/>
        <color theme="1"/>
        <name val="Montserrat"/>
        <scheme val="none"/>
      </font>
      <numFmt numFmtId="169" formatCode="yyyy\-mm\-dd"/>
      <fill>
        <patternFill patternType="none">
          <fgColor indexed="64"/>
          <bgColor auto="1"/>
        </patternFill>
      </fill>
      <protection locked="0" hidden="0"/>
    </dxf>
    <dxf>
      <font>
        <b val="0"/>
        <i val="0"/>
        <strike val="0"/>
        <condense val="0"/>
        <extend val="0"/>
        <outline val="0"/>
        <shadow val="0"/>
        <u val="none"/>
        <vertAlign val="baseline"/>
        <sz val="11"/>
        <color theme="1"/>
        <name val="Montserrat"/>
        <scheme val="none"/>
      </font>
      <numFmt numFmtId="169" formatCode="yyyy\-mm\-dd"/>
      <fill>
        <patternFill patternType="none">
          <fgColor indexed="64"/>
          <bgColor auto="1"/>
        </patternFill>
      </fill>
      <protection locked="0" hidden="0"/>
    </dxf>
    <dxf>
      <font>
        <strike val="0"/>
        <outline val="0"/>
        <shadow val="0"/>
        <u val="none"/>
        <vertAlign val="baseline"/>
        <sz val="11"/>
        <name val="Montserrat"/>
        <scheme val="none"/>
      </font>
      <fill>
        <patternFill patternType="solid">
          <fgColor indexed="64"/>
          <bgColor theme="0" tint="-0.14999847407452621"/>
        </patternFill>
      </fill>
      <protection locked="0" hidden="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protection locked="0" hidden="0"/>
    </dxf>
    <dxf>
      <font>
        <b/>
        <i val="0"/>
        <strike val="0"/>
        <condense val="0"/>
        <extend val="0"/>
        <outline val="0"/>
        <shadow val="0"/>
        <u val="none"/>
        <vertAlign val="baseline"/>
        <sz val="11"/>
        <color theme="1"/>
        <name val="Montserrat"/>
        <scheme val="none"/>
      </font>
      <fill>
        <patternFill patternType="solid">
          <fgColor indexed="64"/>
          <bgColor theme="8"/>
        </patternFill>
      </fill>
      <alignment horizontal="left" vertical="top" textRotation="0" wrapText="1" indent="0" justifyLastLine="0" shrinkToFit="0" readingOrder="0"/>
      <border diagonalUp="0" diagonalDown="0" outline="0">
        <left style="thin">
          <color indexed="64"/>
        </left>
        <right style="thin">
          <color indexed="64"/>
        </right>
        <top/>
        <bottom/>
      </border>
    </dxf>
    <dxf>
      <font>
        <strike val="0"/>
        <outline val="0"/>
        <shadow val="0"/>
        <u val="none"/>
        <vertAlign val="baseline"/>
        <name val="Montserrat"/>
        <scheme val="none"/>
      </font>
      <fill>
        <patternFill>
          <fgColor indexed="64"/>
          <bgColor theme="0" tint="-0.14999847407452621"/>
        </patternFill>
      </fill>
      <protection locked="0" hidden="0"/>
    </dxf>
    <dxf>
      <font>
        <b val="0"/>
        <i val="0"/>
        <strike val="0"/>
        <condense val="0"/>
        <extend val="0"/>
        <outline val="0"/>
        <shadow val="0"/>
        <u val="none"/>
        <vertAlign val="baseline"/>
        <sz val="11"/>
        <color theme="1"/>
        <name val="Montserrat"/>
        <scheme val="none"/>
      </font>
      <numFmt numFmtId="164" formatCode="0.0"/>
      <fill>
        <patternFill>
          <fgColor indexed="64"/>
          <bgColor theme="5" tint="0.59999389629810485"/>
        </patternFill>
      </fill>
    </dxf>
    <dxf>
      <font>
        <b val="0"/>
        <i val="0"/>
        <strike val="0"/>
        <condense val="0"/>
        <extend val="0"/>
        <outline val="0"/>
        <shadow val="0"/>
        <u val="none"/>
        <vertAlign val="baseline"/>
        <sz val="11"/>
        <color theme="1"/>
        <name val="Montserrat"/>
        <scheme val="none"/>
      </font>
      <numFmt numFmtId="164" formatCode="0.0"/>
      <fill>
        <patternFill>
          <fgColor indexed="64"/>
          <bgColor theme="5" tint="0.59999389629810485"/>
        </patternFill>
      </fill>
    </dxf>
    <dxf>
      <font>
        <strike val="0"/>
        <outline val="0"/>
        <shadow val="0"/>
        <u val="none"/>
        <vertAlign val="baseline"/>
        <name val="Montserrat"/>
        <scheme val="none"/>
      </font>
      <numFmt numFmtId="1" formatCode="0"/>
      <protection locked="0" hidden="0"/>
    </dxf>
    <dxf>
      <font>
        <b val="0"/>
        <i val="0"/>
        <strike val="0"/>
        <condense val="0"/>
        <extend val="0"/>
        <outline val="0"/>
        <shadow val="0"/>
        <u val="none"/>
        <vertAlign val="baseline"/>
        <sz val="11"/>
        <color theme="1"/>
        <name val="Montserrat"/>
        <scheme val="none"/>
      </font>
      <numFmt numFmtId="1" formatCode="0"/>
      <fill>
        <patternFill patternType="none">
          <fgColor indexed="64"/>
          <bgColor auto="1"/>
        </patternFill>
      </fill>
      <protection locked="0" hidden="0"/>
    </dxf>
    <dxf>
      <font>
        <b val="0"/>
        <i val="0"/>
        <strike val="0"/>
        <condense val="0"/>
        <extend val="0"/>
        <outline val="0"/>
        <shadow val="0"/>
        <u val="none"/>
        <vertAlign val="baseline"/>
        <sz val="11"/>
        <color theme="1"/>
        <name val="Montserrat"/>
        <scheme val="none"/>
      </font>
      <numFmt numFmtId="1" formatCode="0"/>
      <fill>
        <patternFill patternType="none">
          <fgColor indexed="64"/>
          <bgColor auto="1"/>
        </patternFill>
      </fill>
      <protection locked="0" hidden="0"/>
    </dxf>
    <dxf>
      <font>
        <i/>
        <strike val="0"/>
        <outline val="0"/>
        <shadow val="0"/>
        <u val="none"/>
        <vertAlign val="baseline"/>
        <name val="Montserrat"/>
        <scheme val="none"/>
      </font>
      <numFmt numFmtId="165" formatCode="0;0;;@"/>
      <fill>
        <patternFill patternType="solid">
          <fgColor indexed="64"/>
          <bgColor theme="0" tint="-0.14999847407452621"/>
        </patternFill>
      </fill>
      <protection locked="0" hidden="0"/>
    </dxf>
    <dxf>
      <font>
        <strike val="0"/>
        <outline val="0"/>
        <shadow val="0"/>
        <u val="none"/>
        <vertAlign val="baseline"/>
        <name val="Montserrat"/>
        <scheme val="none"/>
      </font>
      <numFmt numFmtId="165" formatCode="0;0;;@"/>
      <fill>
        <patternFill patternType="solid">
          <fgColor indexed="64"/>
          <bgColor theme="0" tint="-0.14999847407452621"/>
        </patternFill>
      </fill>
      <protection locked="0" hidden="0"/>
    </dxf>
    <dxf>
      <font>
        <strike val="0"/>
        <outline val="0"/>
        <shadow val="0"/>
        <u val="none"/>
        <vertAlign val="baseline"/>
        <name val="Montserrat"/>
        <scheme val="none"/>
      </font>
    </dxf>
    <dxf>
      <font>
        <b/>
        <i val="0"/>
        <strike val="0"/>
        <condense val="0"/>
        <extend val="0"/>
        <outline val="0"/>
        <shadow val="0"/>
        <u val="none"/>
        <vertAlign val="baseline"/>
        <sz val="11"/>
        <color theme="1"/>
        <name val="Montserrat"/>
        <scheme val="none"/>
      </font>
      <fill>
        <patternFill patternType="solid">
          <fgColor indexed="64"/>
          <bgColor theme="8"/>
        </patternFill>
      </fill>
      <alignment horizontal="left" vertical="top" textRotation="0" wrapText="0" indent="0" justifyLastLine="0" shrinkToFit="0" readingOrder="0"/>
      <border diagonalUp="0" diagonalDown="0" outline="0">
        <left style="thin">
          <color indexed="64"/>
        </left>
        <right style="thin">
          <color indexed="64"/>
        </right>
        <top/>
        <bottom/>
      </border>
    </dxf>
    <dxf>
      <font>
        <strike val="0"/>
        <outline val="0"/>
        <shadow val="0"/>
        <u val="none"/>
        <vertAlign val="baseline"/>
        <name val="Montserrat"/>
        <scheme val="none"/>
      </font>
      <numFmt numFmtId="164" formatCode="0.0"/>
      <fill>
        <patternFill patternType="solid">
          <fgColor indexed="64"/>
          <bgColor theme="5" tint="0.59999389629810485"/>
        </patternFill>
      </fill>
      <alignment horizontal="right" vertical="bottom" textRotation="0" wrapText="0" indent="0" justifyLastLine="0" shrinkToFit="0" readingOrder="0"/>
    </dxf>
    <dxf>
      <font>
        <strike val="0"/>
        <outline val="0"/>
        <shadow val="0"/>
        <u val="none"/>
        <vertAlign val="baseline"/>
        <name val="Montserrat"/>
        <scheme val="none"/>
      </font>
      <numFmt numFmtId="164" formatCode="0.0"/>
      <fill>
        <patternFill patternType="solid">
          <fgColor indexed="64"/>
          <bgColor theme="5" tint="0.59999389629810485"/>
        </patternFill>
      </fill>
      <alignment horizontal="right" vertical="bottom" textRotation="0" wrapText="0" indent="0" justifyLastLine="0" shrinkToFit="0" readingOrder="0"/>
    </dxf>
    <dxf>
      <font>
        <strike val="0"/>
        <outline val="0"/>
        <shadow val="0"/>
        <u val="none"/>
        <vertAlign val="baseline"/>
        <name val="Montserrat"/>
        <scheme val="none"/>
      </font>
      <numFmt numFmtId="0" formatCode="General"/>
      <fill>
        <patternFill patternType="solid">
          <fgColor indexed="64"/>
          <bgColor theme="5" tint="0.59999389629810485"/>
        </patternFill>
      </fill>
      <alignment horizontal="right" vertical="bottom" textRotation="0" wrapText="0" indent="0" justifyLastLine="0" shrinkToFit="0" readingOrder="0"/>
    </dxf>
    <dxf>
      <font>
        <strike val="0"/>
        <outline val="0"/>
        <shadow val="0"/>
        <u val="none"/>
        <vertAlign val="baseline"/>
        <name val="Montserrat"/>
        <scheme val="none"/>
      </font>
      <numFmt numFmtId="165" formatCode="0;0;;@"/>
      <fill>
        <patternFill patternType="solid">
          <fgColor indexed="64"/>
          <bgColor theme="5" tint="0.59999389629810485"/>
        </patternFill>
      </fill>
    </dxf>
    <dxf>
      <font>
        <strike val="0"/>
        <outline val="0"/>
        <shadow val="0"/>
        <u val="none"/>
        <vertAlign val="baseline"/>
        <name val="Montserrat"/>
        <scheme val="none"/>
      </font>
      <numFmt numFmtId="165" formatCode="0;0;;@"/>
      <fill>
        <patternFill patternType="solid">
          <fgColor indexed="64"/>
          <bgColor theme="5" tint="0.59999389629810485"/>
        </patternFill>
      </fill>
    </dxf>
    <dxf>
      <font>
        <b val="0"/>
        <i val="0"/>
        <strike val="0"/>
        <condense val="0"/>
        <extend val="0"/>
        <outline val="0"/>
        <shadow val="0"/>
        <u val="none"/>
        <vertAlign val="baseline"/>
        <sz val="11"/>
        <color theme="1"/>
        <name val="Montserrat"/>
        <scheme val="none"/>
      </font>
      <numFmt numFmtId="165" formatCode="0;0;;@"/>
      <fill>
        <patternFill patternType="solid">
          <fgColor indexed="64"/>
          <bgColor theme="5" tint="0.59999389629810485"/>
        </patternFill>
      </fill>
    </dxf>
    <dxf>
      <font>
        <strike val="0"/>
        <outline val="0"/>
        <shadow val="0"/>
        <u val="none"/>
        <vertAlign val="baseline"/>
        <name val="Montserrat"/>
        <scheme val="none"/>
      </font>
      <numFmt numFmtId="165" formatCode="0;0;;@"/>
    </dxf>
    <dxf>
      <border outline="0">
        <bottom style="thick">
          <color theme="0"/>
        </bottom>
      </border>
    </dxf>
    <dxf>
      <font>
        <strike val="0"/>
        <outline val="0"/>
        <shadow val="0"/>
        <u val="none"/>
        <vertAlign val="baseline"/>
        <name val="Montserrat"/>
        <scheme val="none"/>
      </font>
      <alignment horizontal="left" vertical="top" textRotation="0" indent="0" justifyLastLine="0" shrinkToFit="0" readingOrder="0"/>
    </dxf>
    <dxf>
      <font>
        <strike val="0"/>
        <outline val="0"/>
        <shadow val="0"/>
        <u val="none"/>
        <vertAlign val="baseline"/>
        <name val="Montserrat"/>
        <scheme val="none"/>
      </font>
      <fill>
        <patternFill>
          <fgColor indexed="64"/>
          <bgColor theme="0" tint="-0.14999847407452621"/>
        </patternFill>
      </fill>
      <protection locked="0" hidden="0"/>
    </dxf>
    <dxf>
      <font>
        <strike val="0"/>
        <outline val="0"/>
        <shadow val="0"/>
        <u val="none"/>
        <vertAlign val="baseline"/>
        <name val="Montserrat"/>
        <scheme val="none"/>
      </font>
      <protection locked="0" hidden="0"/>
    </dxf>
    <dxf>
      <font>
        <strike val="0"/>
        <outline val="0"/>
        <shadow val="0"/>
        <u val="none"/>
        <vertAlign val="baseline"/>
        <name val="Montserrat"/>
        <scheme val="none"/>
      </font>
      <protection locked="0" hidden="0"/>
    </dxf>
    <dxf>
      <font>
        <strike val="0"/>
        <outline val="0"/>
        <shadow val="0"/>
        <u val="none"/>
        <vertAlign val="baseline"/>
        <name val="Montserrat"/>
        <scheme val="none"/>
      </font>
      <numFmt numFmtId="165" formatCode="0;0;;@"/>
      <fill>
        <patternFill patternType="solid">
          <fgColor indexed="64"/>
          <bgColor theme="0" tint="-0.14999847407452621"/>
        </patternFill>
      </fill>
      <protection locked="0" hidden="0"/>
    </dxf>
    <dxf>
      <font>
        <strike val="0"/>
        <outline val="0"/>
        <shadow val="0"/>
        <u val="none"/>
        <vertAlign val="baseline"/>
        <name val="Montserrat"/>
        <scheme val="none"/>
      </font>
      <numFmt numFmtId="165" formatCode="0;0;;@"/>
      <fill>
        <patternFill patternType="none">
          <fgColor indexed="64"/>
          <bgColor auto="1"/>
        </patternFill>
      </fill>
      <protection locked="0" hidden="0"/>
    </dxf>
    <dxf>
      <font>
        <strike val="0"/>
        <outline val="0"/>
        <shadow val="0"/>
        <u val="none"/>
        <vertAlign val="baseline"/>
        <name val="Montserrat"/>
        <scheme val="none"/>
      </font>
      <protection locked="0" hidden="0"/>
    </dxf>
    <dxf>
      <font>
        <b/>
        <i val="0"/>
        <strike val="0"/>
        <condense val="0"/>
        <extend val="0"/>
        <outline val="0"/>
        <shadow val="0"/>
        <u val="none"/>
        <vertAlign val="baseline"/>
        <sz val="11"/>
        <color theme="1"/>
        <name val="Montserrat"/>
        <scheme val="none"/>
      </font>
      <fill>
        <patternFill patternType="solid">
          <fgColor indexed="64"/>
          <bgColor theme="8"/>
        </patternFill>
      </fill>
      <alignment horizontal="left" vertical="top" textRotation="0" wrapText="0" indent="0" justifyLastLine="0" shrinkToFit="0" readingOrder="0"/>
      <border diagonalUp="0" diagonalDown="0" outline="0">
        <left style="thin">
          <color indexed="64"/>
        </left>
        <right style="thin">
          <color indexed="64"/>
        </right>
        <top/>
        <bottom/>
      </border>
    </dxf>
    <dxf>
      <font>
        <strike val="0"/>
        <outline val="0"/>
        <shadow val="0"/>
        <u val="none"/>
        <vertAlign val="baseline"/>
        <sz val="11"/>
        <name val="Montserrat"/>
        <scheme val="none"/>
      </font>
      <numFmt numFmtId="0" formatCode="General"/>
    </dxf>
    <dxf>
      <font>
        <b val="0"/>
        <i val="0"/>
        <strike val="0"/>
        <condense val="0"/>
        <extend val="0"/>
        <outline val="0"/>
        <shadow val="0"/>
        <u val="none"/>
        <vertAlign val="baseline"/>
        <sz val="11"/>
        <color theme="1"/>
        <name val="Montserrat"/>
        <scheme val="none"/>
      </font>
      <numFmt numFmtId="1" formatCode="0"/>
      <fill>
        <patternFill patternType="solid">
          <fgColor indexed="64"/>
          <bgColor theme="5" tint="0.59999389629810485"/>
        </patternFill>
      </fill>
      <border diagonalUp="0" diagonalDown="0" outline="0">
        <left style="thin">
          <color theme="0"/>
        </left>
        <right/>
        <top style="thin">
          <color theme="0"/>
        </top>
        <bottom style="thin">
          <color theme="0"/>
        </bottom>
      </border>
    </dxf>
    <dxf>
      <font>
        <b val="0"/>
        <i val="0"/>
        <strike val="0"/>
        <condense val="0"/>
        <extend val="0"/>
        <outline val="0"/>
        <shadow val="0"/>
        <u val="none"/>
        <vertAlign val="baseline"/>
        <sz val="11"/>
        <color theme="1"/>
        <name val="Montserrat"/>
        <scheme val="none"/>
      </font>
      <numFmt numFmtId="1" formatCode="0"/>
      <fill>
        <patternFill patternType="solid">
          <fgColor indexed="64"/>
          <bgColor theme="5" tint="0.59999389629810485"/>
        </patternFill>
      </fill>
      <border diagonalUp="0" diagonalDown="0" outline="0">
        <left style="thin">
          <color theme="0"/>
        </left>
        <right style="thin">
          <color theme="0"/>
        </right>
        <top style="thin">
          <color theme="0"/>
        </top>
        <bottom style="thin">
          <color theme="0"/>
        </bottom>
      </border>
    </dxf>
    <dxf>
      <font>
        <b val="0"/>
        <i val="0"/>
        <strike val="0"/>
        <condense val="0"/>
        <extend val="0"/>
        <outline val="0"/>
        <shadow val="0"/>
        <u val="none"/>
        <vertAlign val="baseline"/>
        <sz val="11"/>
        <color auto="1"/>
        <name val="Montserrat"/>
        <scheme val="none"/>
      </font>
      <numFmt numFmtId="1" formatCode="0"/>
      <fill>
        <patternFill patternType="solid">
          <fgColor indexed="64"/>
          <bgColor theme="5" tint="0.59999389629810485"/>
        </patternFill>
      </fill>
      <border diagonalUp="0" diagonalDown="0" outline="0">
        <left style="thin">
          <color theme="0"/>
        </left>
        <right style="thin">
          <color theme="0"/>
        </right>
        <top style="thin">
          <color theme="0"/>
        </top>
        <bottom style="thin">
          <color theme="0"/>
        </bottom>
      </border>
    </dxf>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59999389629810485"/>
        </patternFill>
      </fill>
      <border diagonalUp="0" diagonalDown="0" outline="0">
        <left/>
        <right style="thin">
          <color theme="0"/>
        </right>
        <top style="thin">
          <color theme="0"/>
        </top>
        <bottom style="thin">
          <color theme="0"/>
        </bottom>
      </border>
    </dxf>
    <dxf>
      <border outline="0">
        <top style="thin">
          <color theme="0"/>
        </top>
      </border>
    </dxf>
    <dxf>
      <border outline="0">
        <left style="thin">
          <color theme="0"/>
        </left>
      </border>
    </dxf>
    <dxf>
      <font>
        <strike val="0"/>
        <outline val="0"/>
        <shadow val="0"/>
        <u val="none"/>
        <vertAlign val="baseline"/>
        <sz val="11"/>
        <name val="Montserrat"/>
        <scheme val="none"/>
      </font>
    </dxf>
    <dxf>
      <border outline="0">
        <bottom style="thick">
          <color theme="0"/>
        </bottom>
      </border>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border diagonalUp="0" diagonalDown="0" outline="0">
        <left style="thin">
          <color theme="0"/>
        </left>
        <right style="thin">
          <color theme="0"/>
        </right>
        <top/>
        <bottom/>
      </border>
    </dxf>
    <dxf>
      <font>
        <strike val="0"/>
        <outline val="0"/>
        <shadow val="0"/>
        <u val="none"/>
        <vertAlign val="baseline"/>
        <sz val="11"/>
        <name val="Montserrat"/>
        <scheme val="none"/>
      </font>
      <numFmt numFmtId="2" formatCode="0.00"/>
      <fill>
        <patternFill patternType="solid">
          <fgColor indexed="64"/>
          <bgColor theme="5" tint="0.59999389629810485"/>
        </patternFill>
      </fill>
    </dxf>
    <dxf>
      <font>
        <strike val="0"/>
        <outline val="0"/>
        <shadow val="0"/>
        <u val="none"/>
        <vertAlign val="baseline"/>
        <sz val="11"/>
        <name val="Montserrat"/>
        <scheme val="none"/>
      </font>
      <numFmt numFmtId="2" formatCode="0.00"/>
      <fill>
        <patternFill patternType="solid">
          <fgColor indexed="64"/>
          <bgColor theme="5" tint="0.59999389629810485"/>
        </patternFill>
      </fill>
    </dxf>
    <dxf>
      <font>
        <strike val="0"/>
        <outline val="0"/>
        <shadow val="0"/>
        <u val="none"/>
        <vertAlign val="baseline"/>
        <sz val="11"/>
        <name val="Montserrat"/>
        <scheme val="none"/>
      </font>
      <numFmt numFmtId="2" formatCode="0.00"/>
      <fill>
        <patternFill patternType="solid">
          <fgColor indexed="64"/>
          <bgColor theme="5" tint="0.59999389629810485"/>
        </patternFill>
      </fill>
    </dxf>
    <dxf>
      <font>
        <strike val="0"/>
        <outline val="0"/>
        <shadow val="0"/>
        <u val="none"/>
        <vertAlign val="baseline"/>
        <sz val="11"/>
        <name val="Montserrat"/>
        <scheme val="none"/>
      </font>
      <numFmt numFmtId="2" formatCode="0.00"/>
      <fill>
        <patternFill patternType="solid">
          <fgColor indexed="64"/>
          <bgColor theme="5" tint="0.59999389629810485"/>
        </patternFill>
      </fill>
    </dxf>
    <dxf>
      <font>
        <strike val="0"/>
        <outline val="0"/>
        <shadow val="0"/>
        <u val="none"/>
        <vertAlign val="baseline"/>
        <sz val="11"/>
        <name val="Montserrat"/>
        <scheme val="none"/>
      </font>
      <numFmt numFmtId="2" formatCode="0.00"/>
      <fill>
        <patternFill patternType="solid">
          <fgColor indexed="64"/>
          <bgColor theme="5" tint="0.59999389629810485"/>
        </patternFill>
      </fill>
    </dxf>
    <dxf>
      <font>
        <strike val="0"/>
        <outline val="0"/>
        <shadow val="0"/>
        <u val="none"/>
        <vertAlign val="baseline"/>
        <sz val="11"/>
        <name val="Montserrat"/>
        <scheme val="none"/>
      </font>
      <numFmt numFmtId="2" formatCode="0.00"/>
      <fill>
        <patternFill patternType="solid">
          <fgColor indexed="64"/>
          <bgColor theme="5" tint="0.59999389629810485"/>
        </patternFill>
      </fill>
    </dxf>
    <dxf>
      <font>
        <strike val="0"/>
        <outline val="0"/>
        <shadow val="0"/>
        <u val="none"/>
        <vertAlign val="baseline"/>
        <sz val="11"/>
        <name val="Montserrat"/>
        <scheme val="none"/>
      </font>
      <numFmt numFmtId="2" formatCode="0.00"/>
      <fill>
        <patternFill patternType="solid">
          <fgColor indexed="64"/>
          <bgColor theme="5" tint="0.59999389629810485"/>
        </patternFill>
      </fill>
    </dxf>
    <dxf>
      <font>
        <strike val="0"/>
        <outline val="0"/>
        <shadow val="0"/>
        <u val="none"/>
        <vertAlign val="baseline"/>
        <sz val="11"/>
        <name val="Montserrat"/>
        <scheme val="none"/>
      </font>
      <numFmt numFmtId="0" formatCode="General"/>
      <fill>
        <patternFill patternType="solid">
          <fgColor indexed="64"/>
          <bgColor theme="5" tint="0.59999389629810485"/>
        </patternFill>
      </fill>
    </dxf>
    <dxf>
      <font>
        <strike val="0"/>
        <outline val="0"/>
        <shadow val="0"/>
        <u val="none"/>
        <vertAlign val="baseline"/>
        <sz val="11"/>
        <name val="Montserrat"/>
        <scheme val="none"/>
      </font>
      <fill>
        <patternFill patternType="solid">
          <fgColor indexed="64"/>
          <bgColor theme="5" tint="0.59999389629810485"/>
        </patternFill>
      </fill>
    </dxf>
    <dxf>
      <font>
        <b/>
        <i val="0"/>
        <strike val="0"/>
        <condense val="0"/>
        <extend val="0"/>
        <outline val="0"/>
        <shadow val="0"/>
        <u val="none"/>
        <vertAlign val="baseline"/>
        <sz val="11"/>
        <color theme="1"/>
        <name val="Montserrat"/>
        <scheme val="none"/>
      </font>
      <fill>
        <patternFill patternType="solid">
          <fgColor indexed="64"/>
          <bgColor theme="5" tint="0.39997558519241921"/>
        </patternFill>
      </fill>
      <alignment horizontal="left" vertical="top" textRotation="0" wrapText="1" indent="0" justifyLastLine="0" shrinkToFit="0" readingOrder="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numFmt numFmtId="0" formatCode="General"/>
      <fill>
        <patternFill patternType="solid">
          <fgColor indexed="64"/>
          <bgColor theme="5" tint="0.59999389629810485"/>
        </patternFill>
      </fill>
    </dxf>
    <dxf>
      <font>
        <strike val="0"/>
        <outline val="0"/>
        <shadow val="0"/>
        <u val="none"/>
        <vertAlign val="baseline"/>
        <sz val="11"/>
        <name val="Montserrat"/>
        <scheme val="none"/>
      </font>
    </dxf>
    <dxf>
      <font>
        <b/>
        <i val="0"/>
        <strike val="0"/>
        <condense val="0"/>
        <extend val="0"/>
        <outline val="0"/>
        <shadow val="0"/>
        <u val="none"/>
        <vertAlign val="baseline"/>
        <sz val="11"/>
        <color theme="1"/>
        <name val="Montserrat"/>
        <scheme val="none"/>
      </font>
      <fill>
        <patternFill patternType="solid">
          <fgColor indexed="64"/>
          <bgColor theme="8"/>
        </patternFill>
      </fill>
      <alignment horizontal="general" vertical="top" textRotation="0" wrapText="1" indent="0" justifyLastLine="0" shrinkToFit="0" readingOrder="0"/>
      <border diagonalUp="0" diagonalDown="0" outline="0">
        <left style="thin">
          <color indexed="64"/>
        </left>
        <right style="thin">
          <color indexed="64"/>
        </right>
        <top/>
        <bottom/>
      </border>
    </dxf>
    <dxf>
      <font>
        <strike val="0"/>
        <outline val="0"/>
        <shadow val="0"/>
        <u val="none"/>
        <vertAlign val="baseline"/>
        <sz val="11"/>
        <name val="Montserrat"/>
        <scheme val="none"/>
      </font>
      <numFmt numFmtId="1" formatCode="0"/>
      <fill>
        <patternFill patternType="solid">
          <fgColor indexed="64"/>
          <bgColor theme="0" tint="-0.14999847407452621"/>
        </patternFill>
      </fill>
      <protection locked="0" hidden="0"/>
    </dxf>
    <dxf>
      <font>
        <strike val="0"/>
        <outline val="0"/>
        <shadow val="0"/>
        <u val="none"/>
        <vertAlign val="baseline"/>
        <sz val="11"/>
        <name val="Montserrat"/>
        <scheme val="none"/>
      </font>
      <numFmt numFmtId="164" formatCode="0.0"/>
      <protection locked="0" hidden="0"/>
    </dxf>
    <dxf>
      <font>
        <strike val="0"/>
        <outline val="0"/>
        <shadow val="0"/>
        <u val="none"/>
        <vertAlign val="baseline"/>
        <sz val="11"/>
        <name val="Montserrat"/>
        <scheme val="none"/>
      </font>
      <fill>
        <patternFill patternType="solid">
          <fgColor indexed="64"/>
          <bgColor theme="0" tint="-0.14999847407452621"/>
        </patternFill>
      </fill>
      <protection locked="0" hidden="0"/>
    </dxf>
    <dxf>
      <font>
        <strike val="0"/>
        <outline val="0"/>
        <shadow val="0"/>
        <u val="none"/>
        <vertAlign val="baseline"/>
        <sz val="11"/>
        <name val="Montserrat"/>
        <scheme val="none"/>
      </font>
      <fill>
        <patternFill patternType="solid">
          <fgColor indexed="64"/>
          <bgColor theme="0" tint="-0.14999847407452621"/>
        </patternFill>
      </fill>
      <protection locked="0" hidden="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protection locked="0" hidden="0"/>
    </dxf>
    <dxf>
      <font>
        <b/>
        <i val="0"/>
        <strike val="0"/>
        <condense val="0"/>
        <extend val="0"/>
        <outline val="0"/>
        <shadow val="0"/>
        <u val="none"/>
        <vertAlign val="baseline"/>
        <sz val="11"/>
        <color theme="1"/>
        <name val="Montserrat"/>
        <scheme val="none"/>
      </font>
      <fill>
        <patternFill patternType="solid">
          <fgColor indexed="64"/>
          <bgColor theme="0" tint="-4.9989318521683403E-2"/>
        </patternFill>
      </fill>
      <alignment horizontal="general" vertical="top" textRotation="0" wrapText="0" indent="0" justifyLastLine="0" shrinkToFit="0" readingOrder="0"/>
      <border diagonalUp="0" diagonalDown="0" outline="0">
        <left style="thin">
          <color indexed="64"/>
        </left>
        <right style="thin">
          <color indexed="64"/>
        </right>
        <top/>
        <bottom/>
      </border>
    </dxf>
    <dxf>
      <font>
        <strike val="0"/>
        <outline val="0"/>
        <shadow val="0"/>
        <u val="none"/>
        <vertAlign val="baseline"/>
        <sz val="11"/>
        <name val="Montserrat"/>
        <scheme val="none"/>
      </font>
      <fill>
        <patternFill>
          <fgColor indexed="64"/>
          <bgColor theme="0" tint="-0.14999847407452621"/>
        </patternFill>
      </fill>
      <protection locked="0" hidden="0"/>
    </dxf>
    <dxf>
      <font>
        <strike val="0"/>
        <outline val="0"/>
        <shadow val="0"/>
        <u val="none"/>
        <vertAlign val="baseline"/>
        <sz val="11"/>
        <name val="Montserrat"/>
        <scheme val="none"/>
      </font>
      <numFmt numFmtId="2" formatCode="0.00"/>
      <fill>
        <patternFill patternType="none">
          <fgColor indexed="64"/>
          <bgColor auto="1"/>
        </patternFill>
      </fill>
      <protection locked="0" hidden="0"/>
    </dxf>
    <dxf>
      <font>
        <strike val="0"/>
        <outline val="0"/>
        <shadow val="0"/>
        <u val="none"/>
        <vertAlign val="baseline"/>
        <sz val="11"/>
        <name val="Montserrat"/>
        <scheme val="none"/>
      </font>
      <numFmt numFmtId="164" formatCode="0.0"/>
      <protection locked="0" hidden="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numFmt numFmtId="164" formatCode="0.0"/>
      <protection locked="0" hidden="0"/>
    </dxf>
    <dxf>
      <font>
        <strike val="0"/>
        <outline val="0"/>
        <shadow val="0"/>
        <u val="none"/>
        <vertAlign val="baseline"/>
        <sz val="11"/>
        <name val="Montserrat"/>
        <scheme val="none"/>
      </font>
      <numFmt numFmtId="164" formatCode="0.0"/>
      <protection locked="0" hidden="0"/>
    </dxf>
    <dxf>
      <font>
        <strike val="0"/>
        <outline val="0"/>
        <shadow val="0"/>
        <u val="none"/>
        <vertAlign val="baseline"/>
        <sz val="11"/>
        <name val="Montserrat"/>
        <scheme val="none"/>
      </font>
      <numFmt numFmtId="164" formatCode="0.0"/>
      <protection locked="0" hidden="0"/>
    </dxf>
    <dxf>
      <font>
        <strike val="0"/>
        <outline val="0"/>
        <shadow val="0"/>
        <u val="none"/>
        <vertAlign val="baseline"/>
        <sz val="11"/>
        <name val="Montserrat"/>
        <scheme val="none"/>
      </font>
      <numFmt numFmtId="164" formatCode="0.0"/>
      <protection locked="0" hidden="0"/>
    </dxf>
    <dxf>
      <font>
        <strike val="0"/>
        <outline val="0"/>
        <shadow val="0"/>
        <u val="none"/>
        <vertAlign val="baseline"/>
        <sz val="11"/>
        <name val="Montserrat"/>
        <scheme val="none"/>
      </font>
      <fill>
        <patternFill>
          <fgColor indexed="64"/>
          <bgColor theme="0" tint="-0.14999847407452621"/>
        </patternFill>
      </fill>
      <protection locked="0" hidden="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protection locked="0" hidden="0"/>
    </dxf>
    <dxf>
      <font>
        <b/>
        <i val="0"/>
        <strike val="0"/>
        <condense val="0"/>
        <extend val="0"/>
        <outline val="0"/>
        <shadow val="0"/>
        <u val="none"/>
        <vertAlign val="baseline"/>
        <sz val="11"/>
        <color theme="1"/>
        <name val="Montserrat"/>
        <scheme val="none"/>
      </font>
      <fill>
        <patternFill patternType="solid">
          <fgColor indexed="64"/>
          <bgColor theme="8"/>
        </patternFill>
      </fill>
      <alignment horizontal="general" vertical="top"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numFmt numFmtId="1" formatCode="0"/>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fill>
        <patternFill patternType="none">
          <fgColor indexed="64"/>
          <bgColor auto="1"/>
        </patternFill>
      </fill>
      <protection locked="0" hidden="0"/>
    </dxf>
    <dxf>
      <font>
        <strike val="0"/>
        <outline val="0"/>
        <shadow val="0"/>
        <u val="none"/>
        <vertAlign val="baseline"/>
        <name val="Montserrat"/>
        <scheme val="none"/>
      </font>
      <fill>
        <patternFill patternType="none">
          <fgColor indexed="64"/>
          <bgColor auto="1"/>
        </patternFill>
      </fill>
      <protection locked="0" hidden="0"/>
    </dxf>
    <dxf>
      <font>
        <strike val="0"/>
        <outline val="0"/>
        <shadow val="0"/>
        <u val="none"/>
        <vertAlign val="baseline"/>
        <name val="Montserrat"/>
        <scheme val="none"/>
      </font>
      <fill>
        <patternFill patternType="none">
          <fgColor indexed="64"/>
          <bgColor auto="1"/>
        </patternFill>
      </fill>
      <protection locked="0" hidden="0"/>
    </dxf>
    <dxf>
      <font>
        <strike val="0"/>
        <outline val="0"/>
        <shadow val="0"/>
        <u val="none"/>
        <vertAlign val="baseline"/>
        <name val="Montserrat"/>
        <scheme val="none"/>
      </font>
      <numFmt numFmtId="30" formatCode="@"/>
      <fill>
        <patternFill patternType="solid">
          <fgColor indexed="64"/>
          <bgColor theme="5" tint="0.79998168889431442"/>
        </patternFill>
      </fill>
      <alignment horizontal="right" vertical="bottom" textRotation="0" wrapText="0" indent="0" justifyLastLine="0" shrinkToFit="0" readingOrder="0"/>
      <protection locked="0" hidden="0"/>
    </dxf>
    <dxf>
      <font>
        <strike val="0"/>
        <outline val="0"/>
        <shadow val="0"/>
        <u val="none"/>
        <vertAlign val="baseline"/>
        <name val="Montserrat"/>
        <scheme val="none"/>
      </font>
      <numFmt numFmtId="170" formatCode="yyyy\-mm\-dd;@"/>
      <fill>
        <patternFill patternType="solid">
          <fgColor indexed="64"/>
          <bgColor theme="5" tint="0.79998168889431442"/>
        </patternFill>
      </fill>
      <alignment horizontal="left" vertical="bottom" textRotation="0" wrapText="0" indent="0" justifyLastLine="0" shrinkToFit="0" readingOrder="0"/>
    </dxf>
    <dxf>
      <font>
        <strike val="0"/>
        <outline val="0"/>
        <shadow val="0"/>
        <u val="none"/>
        <vertAlign val="baseline"/>
        <name val="Montserrat"/>
        <scheme val="none"/>
      </font>
      <numFmt numFmtId="170" formatCode="yyyy\-mm\-dd;@"/>
      <fill>
        <patternFill patternType="solid">
          <fgColor indexed="64"/>
          <bgColor theme="5" tint="0.79998168889431442"/>
        </patternFill>
      </fill>
      <alignment horizontal="left" vertical="bottom" textRotation="0" wrapText="0" indent="0" justifyLastLine="0" shrinkToFit="0" readingOrder="0"/>
      <protection locked="0" hidden="0"/>
    </dxf>
    <dxf>
      <font>
        <strike val="0"/>
        <outline val="0"/>
        <shadow val="0"/>
        <u val="none"/>
        <vertAlign val="baseline"/>
        <name val="Montserrat"/>
        <scheme val="none"/>
      </font>
      <numFmt numFmtId="19" formatCode="dd/mm/yyyy"/>
      <fill>
        <patternFill patternType="solid">
          <fgColor indexed="64"/>
          <bgColor theme="5" tint="0.59999389629810485"/>
        </patternFill>
      </fill>
      <border diagonalUp="0" diagonalDown="0">
        <left style="thin">
          <color indexed="64"/>
        </left>
        <right/>
        <top/>
        <bottom/>
        <vertical/>
        <horizontal/>
      </border>
    </dxf>
    <dxf>
      <font>
        <strike val="0"/>
        <outline val="0"/>
        <shadow val="0"/>
        <u val="none"/>
        <vertAlign val="baseline"/>
        <name val="Montserrat"/>
        <scheme val="none"/>
      </font>
      <numFmt numFmtId="19" formatCode="dd/mm/yyyy"/>
      <fill>
        <patternFill patternType="none">
          <fgColor indexed="64"/>
          <bgColor auto="1"/>
        </patternFill>
      </fill>
      <protection locked="0" hidden="0"/>
    </dxf>
    <dxf>
      <font>
        <strike val="0"/>
        <outline val="0"/>
        <shadow val="0"/>
        <u val="none"/>
        <vertAlign val="baseline"/>
        <name val="Montserrat"/>
        <scheme val="none"/>
      </font>
      <fill>
        <patternFill patternType="none">
          <fgColor indexed="64"/>
          <bgColor auto="1"/>
        </patternFill>
      </fill>
    </dxf>
    <dxf>
      <font>
        <strike val="0"/>
        <outline val="0"/>
        <shadow val="0"/>
        <u val="none"/>
        <vertAlign val="baseline"/>
        <name val="Montserrat"/>
        <scheme val="none"/>
      </font>
    </dxf>
    <dxf>
      <font>
        <b/>
        <i val="0"/>
        <strike val="0"/>
        <condense val="0"/>
        <extend val="0"/>
        <outline val="0"/>
        <shadow val="0"/>
        <u val="none"/>
        <vertAlign val="baseline"/>
        <sz val="11"/>
        <color theme="0"/>
        <name val="Montserrat"/>
        <scheme val="none"/>
      </font>
      <fill>
        <patternFill patternType="solid">
          <fgColor indexed="64"/>
          <bgColor theme="8"/>
        </patternFill>
      </fill>
      <alignment horizontal="left" vertical="top" textRotation="0" wrapText="1" indent="0" justifyLastLine="0" shrinkToFit="0" readingOrder="0"/>
    </dxf>
    <dxf>
      <font>
        <b val="0"/>
        <i val="0"/>
        <strike val="0"/>
        <condense val="0"/>
        <extend val="0"/>
        <outline val="0"/>
        <shadow val="0"/>
        <u val="none"/>
        <vertAlign val="baseline"/>
        <sz val="11"/>
        <color theme="1"/>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patternType="solid">
          <fgColor rgb="FF000000"/>
          <bgColor rgb="FFFCE4D6"/>
        </patternFill>
      </fill>
    </dxf>
    <dxf>
      <font>
        <strike val="0"/>
        <outline val="0"/>
        <shadow val="0"/>
        <u val="none"/>
        <vertAlign val="baseline"/>
        <name val="Montserrat"/>
        <scheme val="none"/>
      </font>
      <fill>
        <patternFill patternType="solid">
          <fgColor indexed="64"/>
          <bgColor theme="5" tint="0.39997558519241921"/>
        </patternFill>
      </fill>
      <alignment horizontal="left" vertical="top" textRotation="0" wrapText="0" indent="0" justifyLastLine="0" shrinkToFit="0" readingOrder="0"/>
    </dxf>
    <dxf>
      <font>
        <strike val="0"/>
        <outline val="0"/>
        <shadow val="0"/>
        <u val="none"/>
        <vertAlign val="baseline"/>
        <name val="Montserrat"/>
        <scheme val="none"/>
      </font>
      <numFmt numFmtId="0" formatCode="General"/>
      <fill>
        <patternFill patternType="solid">
          <fgColor rgb="FF000000"/>
          <bgColor rgb="FFFCE4D6"/>
        </patternFill>
      </fill>
    </dxf>
    <dxf>
      <font>
        <strike val="0"/>
        <outline val="0"/>
        <shadow val="0"/>
        <u val="none"/>
        <vertAlign val="baseline"/>
        <name val="Montserrat"/>
        <scheme val="none"/>
      </font>
      <numFmt numFmtId="2" formatCode="0.00"/>
      <fill>
        <patternFill patternType="solid">
          <fgColor indexed="64"/>
          <bgColor theme="5" tint="0.79998168889431442"/>
        </patternFill>
      </fill>
    </dxf>
    <dxf>
      <font>
        <strike val="0"/>
        <outline val="0"/>
        <shadow val="0"/>
        <u val="none"/>
        <vertAlign val="baseline"/>
        <name val="Montserrat"/>
        <scheme val="none"/>
      </font>
      <numFmt numFmtId="0" formatCode="General"/>
      <fill>
        <patternFill patternType="solid">
          <fgColor indexed="64"/>
          <bgColor theme="5" tint="0.79998168889431442"/>
        </patternFill>
      </fill>
    </dxf>
    <dxf>
      <font>
        <strike val="0"/>
        <outline val="0"/>
        <shadow val="0"/>
        <u val="none"/>
        <vertAlign val="baseline"/>
        <name val="Montserrat"/>
        <scheme val="none"/>
      </font>
      <numFmt numFmtId="22" formatCode="mmm/yy"/>
      <fill>
        <patternFill patternType="solid">
          <fgColor indexed="64"/>
          <bgColor theme="5" tint="0.79998168889431442"/>
        </patternFill>
      </fill>
    </dxf>
    <dxf>
      <font>
        <strike val="0"/>
        <outline val="0"/>
        <shadow val="0"/>
        <u val="none"/>
        <vertAlign val="baseline"/>
        <name val="Montserrat"/>
        <scheme val="none"/>
      </font>
      <fill>
        <patternFill patternType="solid">
          <fgColor rgb="FF000000"/>
          <bgColor rgb="FFFCE4D6"/>
        </patternFill>
      </fill>
    </dxf>
    <dxf>
      <font>
        <strike val="0"/>
        <outline val="0"/>
        <shadow val="0"/>
        <u val="none"/>
        <vertAlign val="baseline"/>
        <name val="Montserrat"/>
        <scheme val="none"/>
      </font>
      <fill>
        <patternFill patternType="solid">
          <fgColor indexed="64"/>
          <bgColor theme="5" tint="0.39997558519241921"/>
        </patternFill>
      </fill>
      <alignment horizontal="left" vertical="top" textRotation="0" indent="0" justifyLastLine="0" shrinkToFit="0" readingOrder="0"/>
    </dxf>
    <dxf>
      <font>
        <strike val="0"/>
        <outline val="0"/>
        <shadow val="0"/>
        <u val="none"/>
        <vertAlign val="baseline"/>
        <name val="Montserrat"/>
        <scheme val="none"/>
      </font>
      <numFmt numFmtId="0" formatCode="General"/>
      <fill>
        <patternFill>
          <bgColor rgb="FFFCE4D6"/>
        </patternFill>
      </fill>
    </dxf>
    <dxf>
      <font>
        <strike val="0"/>
        <outline val="0"/>
        <shadow val="0"/>
        <u val="none"/>
        <vertAlign val="baseline"/>
        <name val="Montserrat"/>
        <scheme val="none"/>
      </font>
      <numFmt numFmtId="0" formatCode="General"/>
      <fill>
        <patternFill>
          <bgColor theme="5" tint="0.79998168889431442"/>
        </patternFill>
      </fill>
    </dxf>
    <dxf>
      <font>
        <strike val="0"/>
        <outline val="0"/>
        <shadow val="0"/>
        <u val="none"/>
        <vertAlign val="baseline"/>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bgColor theme="5" tint="0.79998168889431442"/>
        </patternFill>
      </fill>
    </dxf>
    <dxf>
      <font>
        <b val="0"/>
        <i val="0"/>
        <strike val="0"/>
        <condense val="0"/>
        <extend val="0"/>
        <outline val="0"/>
        <shadow val="0"/>
        <u val="none"/>
        <vertAlign val="baseline"/>
        <sz val="11"/>
        <color theme="1"/>
        <name val="Montserrat"/>
        <scheme val="none"/>
      </font>
      <numFmt numFmtId="170" formatCode="yyyy\-mm\-dd;@"/>
      <fill>
        <patternFill patternType="solid">
          <fgColor indexed="64"/>
          <bgColor theme="5" tint="0.79998168889431442"/>
        </patternFill>
      </fill>
      <alignment horizontal="left" vertical="bottom" textRotation="0" wrapText="0" indent="0" justifyLastLine="0" shrinkToFit="0" readingOrder="0"/>
    </dxf>
    <dxf>
      <font>
        <b val="0"/>
        <i val="0"/>
        <strike val="0"/>
        <condense val="0"/>
        <extend val="0"/>
        <outline val="0"/>
        <shadow val="0"/>
        <u val="none"/>
        <vertAlign val="baseline"/>
        <sz val="11"/>
        <color theme="1"/>
        <name val="Montserrat"/>
        <scheme val="none"/>
      </font>
      <numFmt numFmtId="170" formatCode="yyyy\-mm\-dd;@"/>
      <fill>
        <patternFill patternType="solid">
          <fgColor indexed="64"/>
          <bgColor theme="5" tint="0.79998168889431442"/>
        </patternFill>
      </fill>
      <alignment horizontal="left" vertical="bottom" textRotation="0" wrapText="0" indent="0" justifyLastLine="0" shrinkToFit="0" readingOrder="0"/>
    </dxf>
    <dxf>
      <font>
        <strike val="0"/>
        <outline val="0"/>
        <shadow val="0"/>
        <u val="none"/>
        <vertAlign val="baseline"/>
        <name val="Montserrat"/>
        <scheme val="none"/>
      </font>
      <fill>
        <patternFill>
          <bgColor rgb="FFFCE4D6"/>
        </patternFill>
      </fill>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indent="0" justifyLastLine="0" shrinkToFit="0" readingOrder="0"/>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i val="0"/>
        <strike val="0"/>
        <condense val="0"/>
        <extend val="0"/>
        <outline val="0"/>
        <shadow val="0"/>
        <u val="none"/>
        <vertAlign val="baseline"/>
        <sz val="11"/>
        <color theme="0"/>
        <name val="Montserrat"/>
        <scheme val="none"/>
      </font>
      <fill>
        <patternFill patternType="none">
          <fgColor indexed="64"/>
          <bgColor auto="1"/>
        </patternFill>
      </fill>
      <border diagonalUp="0" diagonalDown="0" outline="0">
        <left style="thin">
          <color theme="0"/>
        </left>
        <right style="thin">
          <color theme="0"/>
        </right>
        <top/>
        <bottom/>
      </border>
    </dxf>
    <dxf>
      <font>
        <b val="0"/>
        <i val="0"/>
        <strike val="0"/>
        <condense val="0"/>
        <extend val="0"/>
        <outline val="0"/>
        <shadow val="0"/>
        <u val="none"/>
        <vertAlign val="baseline"/>
        <sz val="11"/>
        <color theme="1"/>
        <name val="Montserrat"/>
        <scheme val="none"/>
      </font>
      <fill>
        <patternFill patternType="solid">
          <fgColor theme="8" tint="0.79998168889431442"/>
          <bgColor theme="8" tint="0.79998168889431442"/>
        </patternFill>
      </fill>
      <border diagonalUp="0" diagonalDown="0" outline="0">
        <left style="thin">
          <color theme="0"/>
        </left>
        <right/>
        <top style="thin">
          <color theme="0"/>
        </top>
        <bottom/>
      </border>
    </dxf>
    <dxf>
      <font>
        <b val="0"/>
        <i val="0"/>
        <strike val="0"/>
        <condense val="0"/>
        <extend val="0"/>
        <outline val="0"/>
        <shadow val="0"/>
        <u val="none"/>
        <vertAlign val="baseline"/>
        <sz val="11"/>
        <color theme="1"/>
        <name val="Montserrat"/>
        <scheme val="none"/>
      </font>
      <fill>
        <patternFill patternType="solid">
          <fgColor theme="8" tint="0.79998168889431442"/>
          <bgColor theme="8" tint="0.79998168889431442"/>
        </patternFill>
      </fill>
      <border diagonalUp="0" diagonalDown="0" outline="0">
        <left style="thin">
          <color theme="0"/>
        </left>
        <right/>
        <top style="thin">
          <color theme="0"/>
        </top>
        <bottom/>
      </border>
    </dxf>
    <dxf>
      <font>
        <b val="0"/>
        <i val="0"/>
        <strike val="0"/>
        <condense val="0"/>
        <extend val="0"/>
        <outline val="0"/>
        <shadow val="0"/>
        <u val="none"/>
        <vertAlign val="baseline"/>
        <sz val="11"/>
        <color theme="1"/>
        <name val="Montserrat"/>
        <scheme val="none"/>
      </font>
      <fill>
        <patternFill patternType="solid">
          <fgColor theme="8" tint="0.79998168889431442"/>
          <bgColor theme="8" tint="0.79998168889431442"/>
        </patternFill>
      </fill>
      <border diagonalUp="0" diagonalDown="0" outline="0">
        <left style="thin">
          <color theme="0"/>
        </left>
        <right/>
        <top style="thin">
          <color theme="0"/>
        </top>
        <bottom/>
      </border>
    </dxf>
    <dxf>
      <font>
        <b val="0"/>
        <i val="0"/>
        <strike val="0"/>
        <condense val="0"/>
        <extend val="0"/>
        <outline val="0"/>
        <shadow val="0"/>
        <u val="none"/>
        <vertAlign val="baseline"/>
        <sz val="11"/>
        <color theme="1"/>
        <name val="Montserrat"/>
        <scheme val="none"/>
      </font>
      <fill>
        <patternFill patternType="solid">
          <fgColor theme="8" tint="0.79998168889431442"/>
          <bgColor theme="8" tint="0.79998168889431442"/>
        </patternFill>
      </fill>
      <border diagonalUp="0" diagonalDown="0" outline="0">
        <left/>
        <right/>
        <top style="thin">
          <color theme="0"/>
        </top>
        <bottom/>
      </border>
    </dxf>
    <dxf>
      <font>
        <b val="0"/>
        <i val="0"/>
        <strike val="0"/>
        <condense val="0"/>
        <extend val="0"/>
        <outline val="0"/>
        <shadow val="0"/>
        <u val="none"/>
        <vertAlign val="baseline"/>
        <sz val="11"/>
        <color theme="1"/>
        <name val="Montserrat"/>
        <scheme val="none"/>
      </font>
      <fill>
        <patternFill patternType="solid">
          <fgColor theme="8" tint="0.79998168889431442"/>
          <bgColor theme="8" tint="0.79998168889431442"/>
        </patternFill>
      </fill>
    </dxf>
    <dxf>
      <font>
        <b/>
        <i val="0"/>
        <strike val="0"/>
        <condense val="0"/>
        <extend val="0"/>
        <outline val="0"/>
        <shadow val="0"/>
        <u val="none"/>
        <vertAlign val="baseline"/>
        <sz val="11"/>
        <color theme="0"/>
        <name val="Montserrat"/>
        <scheme val="none"/>
      </font>
      <fill>
        <patternFill patternType="solid">
          <fgColor theme="8"/>
          <bgColor theme="8"/>
        </patternFill>
      </fill>
      <alignment textRotation="0" wrapText="1" indent="0" justifyLastLine="0" shrinkToFit="0" readingOrder="0"/>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top style="thin">
          <color theme="4" tint="0.39997558519241921"/>
        </top>
        <bottom/>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top style="thin">
          <color theme="4" tint="0.39997558519241921"/>
        </top>
        <bottom/>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top style="thin">
          <color theme="4" tint="0.39997558519241921"/>
        </top>
        <bottom/>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top style="thin">
          <color theme="4" tint="0.39997558519241921"/>
        </top>
        <bottom/>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top style="thin">
          <color theme="4" tint="0.39997558519241921"/>
        </top>
        <bottom/>
      </border>
    </dxf>
    <dxf>
      <font>
        <b val="0"/>
        <i val="0"/>
        <strike val="0"/>
        <condense val="0"/>
        <extend val="0"/>
        <outline val="0"/>
        <shadow val="0"/>
        <u val="none"/>
        <vertAlign val="baseline"/>
        <sz val="11"/>
        <color theme="1"/>
        <name val="Montserrat"/>
        <scheme val="none"/>
      </font>
      <numFmt numFmtId="170" formatCode="yyyy\-mm\-dd;@"/>
      <fill>
        <patternFill patternType="solid">
          <fgColor theme="8" tint="0.59999389629810485"/>
          <bgColor theme="8" tint="0.59999389629810485"/>
        </patternFill>
      </fill>
      <alignment horizontal="left" vertical="bottom" textRotation="0" wrapText="0" indent="0" justifyLastLine="0" shrinkToFit="0" readingOrder="0"/>
      <border diagonalUp="0" diagonalDown="0" outline="0">
        <left style="thin">
          <color theme="0"/>
        </left>
        <right/>
        <top style="thin">
          <color theme="0"/>
        </top>
        <bottom/>
      </border>
    </dxf>
    <dxf>
      <border outline="0">
        <right style="thin">
          <color theme="4" tint="0.39997558519241921"/>
        </right>
        <top style="thin">
          <color theme="4" tint="0.39997558519241921"/>
        </top>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dxf>
    <dxf>
      <font>
        <b/>
        <i val="0"/>
        <strike val="0"/>
        <condense val="0"/>
        <extend val="0"/>
        <outline val="0"/>
        <shadow val="0"/>
        <u val="none"/>
        <vertAlign val="baseline"/>
        <sz val="11"/>
        <color theme="0"/>
        <name val="Montserrat"/>
        <scheme val="none"/>
      </font>
      <fill>
        <patternFill patternType="solid">
          <fgColor theme="8"/>
          <bgColor theme="8"/>
        </patternFill>
      </fill>
      <alignment textRotation="0" wrapText="1" indent="0" justifyLastLine="0" shrinkToFit="0" readingOrder="0"/>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numFmt numFmtId="1" formatCode="0"/>
      <fill>
        <patternFill patternType="none">
          <fgColor indexed="64"/>
          <bgColor indexed="65"/>
        </patternFill>
      </fill>
    </dxf>
    <dxf>
      <font>
        <b val="0"/>
        <i val="0"/>
        <strike val="0"/>
        <condense val="0"/>
        <extend val="0"/>
        <outline val="0"/>
        <shadow val="0"/>
        <u val="none"/>
        <vertAlign val="baseline"/>
        <sz val="11"/>
        <color theme="1"/>
        <name val="Montserrat"/>
        <scheme val="none"/>
      </font>
      <fill>
        <patternFill patternType="none">
          <fgColor indexed="64"/>
          <bgColor indexed="65"/>
        </patternFill>
      </fill>
    </dxf>
    <dxf>
      <font>
        <b val="0"/>
        <i val="0"/>
        <strike val="0"/>
        <condense val="0"/>
        <extend val="0"/>
        <outline val="0"/>
        <shadow val="0"/>
        <u val="none"/>
        <vertAlign val="baseline"/>
        <sz val="11"/>
        <color theme="1"/>
        <name val="Montserrat"/>
        <scheme val="none"/>
      </font>
      <fill>
        <patternFill patternType="none">
          <fgColor indexed="64"/>
          <bgColor indexed="65"/>
        </patternFill>
      </fill>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b/>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alignment horizontal="right" vertical="bottom" textRotation="0" wrapText="0" indent="0" justifyLastLine="0" shrinkToFit="0" readingOrder="0"/>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alignment horizontal="left" vertical="bottom" textRotation="0" wrapText="0" indent="0" justifyLastLine="0" shrinkToFit="0" readingOrder="0"/>
    </dxf>
    <dxf>
      <font>
        <b val="0"/>
        <i val="0"/>
        <strike val="0"/>
        <condense val="0"/>
        <extend val="0"/>
        <outline val="0"/>
        <shadow val="0"/>
        <u val="none"/>
        <vertAlign val="baseline"/>
        <sz val="11"/>
        <color theme="1"/>
        <name val="Montserrat"/>
        <scheme val="none"/>
      </font>
      <numFmt numFmtId="166" formatCode="0.00;0.00;;@"/>
      <fill>
        <patternFill patternType="solid">
          <fgColor theme="8" tint="0.59999389629810485"/>
          <bgColor theme="5" tint="0.79998168889431442"/>
        </patternFill>
      </fill>
      <alignment horizontal="right" vertical="bottom" textRotation="0" wrapText="0" indent="0" justifyLastLine="0" shrinkToFit="0" readingOrder="0"/>
    </dxf>
    <dxf>
      <font>
        <b val="0"/>
        <i val="0"/>
        <strike val="0"/>
        <condense val="0"/>
        <extend val="0"/>
        <outline val="0"/>
        <shadow val="0"/>
        <u val="none"/>
        <vertAlign val="baseline"/>
        <sz val="11"/>
        <color theme="1"/>
        <name val="Montserrat"/>
        <scheme val="none"/>
      </font>
      <numFmt numFmtId="167" formatCode="dd\-mm\-yyyy"/>
      <fill>
        <patternFill patternType="solid">
          <fgColor theme="8" tint="0.59999389629810485"/>
          <bgColor theme="5" tint="0.79998168889431442"/>
        </patternFill>
      </fill>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dxf>
    <dxf>
      <font>
        <b val="0"/>
        <i val="0"/>
        <strike val="0"/>
        <condense val="0"/>
        <extend val="0"/>
        <outline val="0"/>
        <shadow val="0"/>
        <u val="none"/>
        <vertAlign val="baseline"/>
        <sz val="11"/>
        <color theme="1"/>
        <name val="Montserrat"/>
        <scheme val="none"/>
      </font>
      <fill>
        <patternFill patternType="solid">
          <fgColor theme="8" tint="0.59999389629810485"/>
          <bgColor theme="5" tint="0.79998168889431442"/>
        </patternFill>
      </fill>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wrapText="1" indent="0" justifyLastLine="0" shrinkToFit="0" readingOrder="0"/>
    </dxf>
    <dxf>
      <font>
        <b val="0"/>
        <i val="0"/>
        <strike val="0"/>
        <condense val="0"/>
        <extend val="0"/>
        <outline val="0"/>
        <shadow val="0"/>
        <u val="none"/>
        <vertAlign val="baseline"/>
        <sz val="11"/>
        <color theme="1"/>
        <name val="Montserrat"/>
        <scheme val="none"/>
      </font>
      <fill>
        <patternFill patternType="solid">
          <fgColor theme="8" tint="0.79998168889431442"/>
          <bgColor theme="0" tint="-0.14999847407452621"/>
        </patternFill>
      </fill>
      <border diagonalUp="0" diagonalDown="0" outline="0">
        <left style="thin">
          <color theme="0"/>
        </left>
        <right/>
        <top style="thin">
          <color theme="0"/>
        </top>
        <bottom/>
      </border>
      <protection locked="0" hidden="0"/>
    </dxf>
    <dxf>
      <font>
        <b val="0"/>
        <i val="0"/>
        <strike val="0"/>
        <condense val="0"/>
        <extend val="0"/>
        <outline val="0"/>
        <shadow val="0"/>
        <u val="none"/>
        <vertAlign val="baseline"/>
        <sz val="11"/>
        <color theme="1"/>
        <name val="Montserrat"/>
        <scheme val="none"/>
      </font>
      <numFmt numFmtId="164" formatCode="0.0"/>
      <fill>
        <patternFill patternType="solid">
          <fgColor theme="8" tint="0.79998168889431442"/>
          <bgColor theme="8" tint="0.79998168889431442"/>
        </patternFill>
      </fill>
      <border diagonalUp="0" diagonalDown="0" outline="0">
        <left style="thin">
          <color theme="0"/>
        </left>
        <right/>
        <top style="thin">
          <color theme="0"/>
        </top>
        <bottom/>
      </border>
      <protection locked="0" hidden="0"/>
    </dxf>
    <dxf>
      <font>
        <b val="0"/>
        <i val="0"/>
        <strike val="0"/>
        <condense val="0"/>
        <extend val="0"/>
        <outline val="0"/>
        <shadow val="0"/>
        <u val="none"/>
        <vertAlign val="baseline"/>
        <sz val="11"/>
        <color theme="1"/>
        <name val="Montserrat"/>
        <scheme val="none"/>
      </font>
      <numFmt numFmtId="164" formatCode="0.0"/>
      <fill>
        <patternFill patternType="solid">
          <fgColor theme="8" tint="0.79998168889431442"/>
          <bgColor theme="8" tint="0.79998168889431442"/>
        </patternFill>
      </fill>
      <border diagonalUp="0" diagonalDown="0" outline="0">
        <left/>
        <right/>
        <top style="thin">
          <color theme="0"/>
        </top>
        <bottom/>
      </border>
      <protection locked="0" hidden="0"/>
    </dxf>
    <dxf>
      <font>
        <strike val="0"/>
        <outline val="0"/>
        <shadow val="0"/>
        <u val="none"/>
        <vertAlign val="baseline"/>
        <sz val="11"/>
        <name val="Montserrat"/>
        <scheme val="none"/>
      </font>
      <fill>
        <patternFill patternType="solid">
          <bgColor theme="5" tint="0.79998168889431442"/>
        </patternFill>
      </fill>
      <alignment horizontal="right" vertical="bottom" textRotation="0" wrapText="0" indent="0" justifyLastLine="0" shrinkToFit="0" readingOrder="0"/>
      <protection locked="1" hidden="0"/>
    </dxf>
    <dxf>
      <font>
        <strike val="0"/>
        <outline val="0"/>
        <shadow val="0"/>
        <u val="none"/>
        <vertAlign val="baseline"/>
        <sz val="11"/>
        <name val="Montserrat"/>
        <scheme val="none"/>
      </font>
      <fill>
        <patternFill patternType="solid">
          <bgColor theme="5" tint="0.79998168889431442"/>
        </patternFill>
      </fill>
      <border outline="0">
        <right style="thin">
          <color theme="0"/>
        </right>
      </border>
    </dxf>
    <dxf>
      <font>
        <b val="0"/>
        <i val="0"/>
        <strike val="0"/>
        <condense val="0"/>
        <extend val="0"/>
        <outline val="0"/>
        <shadow val="0"/>
        <u val="none"/>
        <vertAlign val="baseline"/>
        <sz val="11"/>
        <color theme="1"/>
        <name val="Montserrat"/>
        <scheme val="none"/>
      </font>
      <numFmt numFmtId="170" formatCode="yyyy\-mm\-dd;@"/>
      <fill>
        <patternFill patternType="solid">
          <fgColor theme="8" tint="0.59999389629810485"/>
          <bgColor theme="5" tint="0.79998168889431442"/>
        </patternFill>
      </fill>
      <alignment horizontal="left" vertical="bottom" textRotation="0" wrapText="0" indent="0" justifyLastLine="0" shrinkToFit="0" readingOrder="0"/>
      <border diagonalUp="0" diagonalDown="0" outline="0">
        <left style="thin">
          <color theme="0"/>
        </left>
        <right/>
        <top style="thin">
          <color theme="0"/>
        </top>
        <bottom/>
      </border>
    </dxf>
    <dxf>
      <font>
        <b val="0"/>
        <i val="0"/>
        <strike val="0"/>
        <condense val="0"/>
        <extend val="0"/>
        <outline val="0"/>
        <shadow val="0"/>
        <u val="none"/>
        <vertAlign val="baseline"/>
        <sz val="11"/>
        <color theme="1"/>
        <name val="Montserrat"/>
        <scheme val="none"/>
      </font>
      <numFmt numFmtId="170" formatCode="yyyy\-mm\-dd;@"/>
      <fill>
        <patternFill patternType="solid">
          <fgColor theme="8" tint="0.59999389629810485"/>
          <bgColor theme="7" tint="0.79998168889431442"/>
        </patternFill>
      </fill>
      <alignment horizontal="left" vertical="bottom" textRotation="0" wrapText="0" indent="0" justifyLastLine="0" shrinkToFit="0" readingOrder="0"/>
      <border diagonalUp="0" diagonalDown="0" outline="0">
        <left style="thin">
          <color theme="0"/>
        </left>
        <right/>
        <top style="thin">
          <color theme="0"/>
        </top>
        <bottom/>
      </border>
    </dxf>
    <dxf>
      <font>
        <b val="0"/>
        <i val="0"/>
        <strike val="0"/>
        <condense val="0"/>
        <extend val="0"/>
        <outline val="0"/>
        <shadow val="0"/>
        <u val="none"/>
        <vertAlign val="baseline"/>
        <sz val="11"/>
        <color theme="1"/>
        <name val="Montserrat"/>
        <scheme val="none"/>
      </font>
      <numFmt numFmtId="169" formatCode="yyyy\-mm\-dd"/>
      <fill>
        <patternFill patternType="solid">
          <fgColor theme="8" tint="0.79998168889431442"/>
          <bgColor theme="8" tint="0.79998168889431442"/>
        </patternFill>
      </fill>
      <border diagonalUp="0" diagonalDown="0" outline="0">
        <left/>
        <right/>
        <top style="thin">
          <color theme="0"/>
        </top>
        <bottom/>
      </border>
      <protection locked="0" hidden="0"/>
    </dxf>
    <dxf>
      <font>
        <b val="0"/>
        <i val="0"/>
        <strike val="0"/>
        <condense val="0"/>
        <extend val="0"/>
        <outline val="0"/>
        <shadow val="0"/>
        <u val="none"/>
        <vertAlign val="baseline"/>
        <sz val="11"/>
        <color theme="1"/>
        <name val="Montserrat"/>
        <scheme val="none"/>
      </font>
      <numFmt numFmtId="165" formatCode="0;0;;@"/>
      <fill>
        <patternFill patternType="solid">
          <fgColor theme="8" tint="0.79998168889431442"/>
          <bgColor theme="5" tint="0.79998168889431442"/>
        </patternFill>
      </fill>
      <border diagonalUp="0" diagonalDown="0" outline="0">
        <left/>
        <right/>
        <top style="thin">
          <color theme="0"/>
        </top>
        <bottom/>
      </border>
    </dxf>
    <dxf>
      <font>
        <strike val="0"/>
        <outline val="0"/>
        <shadow val="0"/>
        <u val="none"/>
        <vertAlign val="baseline"/>
        <sz val="11"/>
        <name val="Montserrat"/>
        <scheme val="none"/>
      </font>
    </dxf>
    <dxf>
      <font>
        <strike val="0"/>
        <outline val="0"/>
        <shadow val="0"/>
        <u val="none"/>
        <vertAlign val="baseline"/>
        <sz val="11"/>
        <name val="Montserrat"/>
        <scheme val="none"/>
      </font>
      <alignment textRotation="0" wrapText="1" indent="0" justifyLastLine="0" shrinkToFit="0" readingOrder="0"/>
    </dxf>
    <dxf>
      <font>
        <b val="0"/>
        <i val="0"/>
        <strike val="0"/>
        <condense val="0"/>
        <extend val="0"/>
        <outline val="0"/>
        <shadow val="0"/>
        <u val="none"/>
        <vertAlign val="baseline"/>
        <sz val="11"/>
        <color theme="1"/>
        <name val="Montserrat"/>
        <scheme val="none"/>
      </font>
      <fill>
        <patternFill patternType="solid">
          <fgColor theme="8" tint="0.79998168889431442"/>
          <bgColor theme="0" tint="-0.14999847407452621"/>
        </patternFill>
      </fill>
      <border diagonalUp="0" diagonalDown="0" outline="0">
        <left style="thin">
          <color theme="0"/>
        </left>
        <right/>
        <top style="thin">
          <color theme="0"/>
        </top>
        <bottom/>
      </border>
      <protection locked="0" hidden="0"/>
    </dxf>
    <dxf>
      <font>
        <b val="0"/>
        <i val="0"/>
        <strike val="0"/>
        <condense val="0"/>
        <extend val="0"/>
        <outline val="0"/>
        <shadow val="0"/>
        <u val="none"/>
        <vertAlign val="baseline"/>
        <sz val="11"/>
        <color theme="1"/>
        <name val="Montserrat"/>
        <scheme val="none"/>
      </font>
      <numFmt numFmtId="164" formatCode="0.0"/>
      <fill>
        <patternFill patternType="solid">
          <fgColor theme="8" tint="0.79998168889431442"/>
          <bgColor theme="8" tint="0.79998168889431442"/>
        </patternFill>
      </fill>
      <border diagonalUp="0" diagonalDown="0" outline="0">
        <left style="thin">
          <color theme="0"/>
        </left>
        <right/>
        <top style="thin">
          <color theme="0"/>
        </top>
        <bottom/>
      </border>
      <protection locked="0" hidden="0"/>
    </dxf>
    <dxf>
      <font>
        <b val="0"/>
        <i val="0"/>
        <strike val="0"/>
        <condense val="0"/>
        <extend val="0"/>
        <outline val="0"/>
        <shadow val="0"/>
        <u val="none"/>
        <vertAlign val="baseline"/>
        <sz val="11"/>
        <color theme="1"/>
        <name val="Montserrat"/>
        <scheme val="none"/>
      </font>
      <numFmt numFmtId="164" formatCode="0.0"/>
      <fill>
        <patternFill patternType="solid">
          <fgColor theme="8" tint="0.79998168889431442"/>
          <bgColor theme="8" tint="0.79998168889431442"/>
        </patternFill>
      </fill>
      <border diagonalUp="0" diagonalDown="0" outline="0">
        <left/>
        <right/>
        <top style="thin">
          <color theme="0"/>
        </top>
        <bottom/>
      </border>
      <protection locked="0" hidden="0"/>
    </dxf>
    <dxf>
      <font>
        <b val="0"/>
        <i val="0"/>
        <strike val="0"/>
        <condense val="0"/>
        <extend val="0"/>
        <outline val="0"/>
        <shadow val="0"/>
        <u val="none"/>
        <vertAlign val="baseline"/>
        <sz val="11"/>
        <color auto="1"/>
        <name val="Montserrat"/>
        <scheme val="none"/>
      </font>
      <fill>
        <patternFill patternType="solid">
          <fgColor theme="8" tint="0.79998168889431442"/>
          <bgColor theme="5" tint="0.79998168889431442"/>
        </patternFill>
      </fill>
      <alignment horizontal="right" vertical="bottom" textRotation="0" wrapText="0" indent="0" justifyLastLine="0" shrinkToFit="0" readingOrder="0"/>
      <border diagonalUp="0" diagonalDown="0" outline="0">
        <left/>
        <right/>
        <top style="thin">
          <color theme="0"/>
        </top>
        <bottom/>
      </border>
      <protection locked="0" hidden="0"/>
    </dxf>
    <dxf>
      <font>
        <b val="0"/>
        <i val="0"/>
        <strike val="0"/>
        <condense val="0"/>
        <extend val="0"/>
        <outline val="0"/>
        <shadow val="0"/>
        <u val="none"/>
        <vertAlign val="baseline"/>
        <sz val="11"/>
        <color auto="1"/>
        <name val="Montserrat"/>
        <scheme val="none"/>
      </font>
      <fill>
        <patternFill patternType="solid">
          <fgColor theme="8" tint="0.79998168889431442"/>
          <bgColor theme="5" tint="0.79998168889431442"/>
        </patternFill>
      </fill>
      <border diagonalUp="0" diagonalDown="0" outline="0">
        <left/>
        <right style="thin">
          <color theme="0"/>
        </right>
        <top style="thin">
          <color theme="0"/>
        </top>
        <bottom/>
      </border>
    </dxf>
    <dxf>
      <font>
        <b val="0"/>
        <i val="0"/>
        <strike val="0"/>
        <condense val="0"/>
        <extend val="0"/>
        <outline val="0"/>
        <shadow val="0"/>
        <u val="none"/>
        <vertAlign val="baseline"/>
        <sz val="11"/>
        <color theme="1"/>
        <name val="Montserrat"/>
        <scheme val="none"/>
      </font>
      <numFmt numFmtId="170" formatCode="yyyy\-mm\-dd;@"/>
      <fill>
        <patternFill patternType="solid">
          <fgColor theme="8" tint="0.59999389629810485"/>
          <bgColor theme="5" tint="0.79998168889431442"/>
        </patternFill>
      </fill>
      <alignment horizontal="left" vertical="bottom" textRotation="0" wrapText="0" indent="0" justifyLastLine="0" shrinkToFit="0" readingOrder="0"/>
      <border diagonalUp="0" diagonalDown="0" outline="0">
        <left style="thin">
          <color indexed="64"/>
        </left>
        <right/>
        <top style="thin">
          <color theme="0"/>
        </top>
        <bottom/>
      </border>
    </dxf>
    <dxf>
      <font>
        <b val="0"/>
        <i val="0"/>
        <strike val="0"/>
        <condense val="0"/>
        <extend val="0"/>
        <outline val="0"/>
        <shadow val="0"/>
        <u val="none"/>
        <vertAlign val="baseline"/>
        <sz val="11"/>
        <color theme="1"/>
        <name val="Montserrat"/>
        <scheme val="none"/>
      </font>
      <numFmt numFmtId="170" formatCode="yyyy\-mm\-dd;@"/>
      <fill>
        <patternFill patternType="solid">
          <fgColor theme="8" tint="0.59999389629810485"/>
          <bgColor theme="7" tint="0.79998168889431442"/>
        </patternFill>
      </fill>
      <alignment horizontal="left" vertical="bottom" textRotation="0" wrapText="0" indent="0" justifyLastLine="0" shrinkToFit="0" readingOrder="0"/>
      <border diagonalUp="0" diagonalDown="0" outline="0">
        <left/>
        <right/>
        <top style="thin">
          <color theme="0"/>
        </top>
        <bottom/>
      </border>
    </dxf>
    <dxf>
      <font>
        <b val="0"/>
        <i val="0"/>
        <strike val="0"/>
        <condense val="0"/>
        <extend val="0"/>
        <outline val="0"/>
        <shadow val="0"/>
        <u val="none"/>
        <vertAlign val="baseline"/>
        <sz val="11"/>
        <color theme="1"/>
        <name val="Montserrat"/>
        <scheme val="none"/>
      </font>
      <numFmt numFmtId="169" formatCode="yyyy\-mm\-dd"/>
      <fill>
        <patternFill patternType="solid">
          <fgColor theme="8" tint="0.79998168889431442"/>
          <bgColor theme="8" tint="0.79998168889431442"/>
        </patternFill>
      </fill>
      <border diagonalUp="0" diagonalDown="0" outline="0">
        <left/>
        <right/>
        <top style="thin">
          <color theme="0"/>
        </top>
        <bottom/>
      </border>
      <protection locked="0" hidden="0"/>
    </dxf>
    <dxf>
      <font>
        <b val="0"/>
        <i val="0"/>
        <strike val="0"/>
        <condense val="0"/>
        <extend val="0"/>
        <outline val="0"/>
        <shadow val="0"/>
        <u val="none"/>
        <vertAlign val="baseline"/>
        <sz val="11"/>
        <color theme="1"/>
        <name val="Montserrat"/>
        <scheme val="none"/>
      </font>
      <numFmt numFmtId="165" formatCode="0;0;;@"/>
      <fill>
        <patternFill patternType="solid">
          <fgColor theme="8" tint="0.79998168889431442"/>
          <bgColor theme="5" tint="0.79998168889431442"/>
        </patternFill>
      </fill>
      <border diagonalUp="0" diagonalDown="0" outline="0">
        <left/>
        <right/>
        <top style="thin">
          <color theme="0"/>
        </top>
        <bottom/>
      </border>
    </dxf>
    <dxf>
      <font>
        <strike val="0"/>
        <outline val="0"/>
        <shadow val="0"/>
        <u val="none"/>
        <vertAlign val="baseline"/>
        <sz val="11"/>
        <name val="Montserrat"/>
        <scheme val="none"/>
      </font>
    </dxf>
    <dxf>
      <font>
        <strike val="0"/>
        <outline val="0"/>
        <shadow val="0"/>
        <u val="none"/>
        <vertAlign val="baseline"/>
        <sz val="11"/>
        <name val="Montserrat"/>
        <scheme val="none"/>
      </font>
      <alignment textRotation="0" wrapText="1" indent="0" justifyLastLine="0" shrinkToFit="0" readingOrder="0"/>
    </dxf>
    <dxf>
      <font>
        <b val="0"/>
        <i val="0"/>
        <strike val="0"/>
        <condense val="0"/>
        <extend val="0"/>
        <outline val="0"/>
        <shadow val="0"/>
        <u val="none"/>
        <vertAlign val="baseline"/>
        <sz val="11"/>
        <color theme="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39997558519241921"/>
        </patternFill>
      </fill>
      <alignment horizontal="left" vertical="top" textRotation="0" wrapText="0" indent="0" justifyLastLine="0" shrinkToFit="0" readingOrder="0"/>
    </dxf>
    <dxf>
      <font>
        <strike val="0"/>
        <outline val="0"/>
        <shadow val="0"/>
        <u val="none"/>
        <vertAlign val="baseline"/>
        <sz val="11"/>
        <name val="Montserrat"/>
        <scheme val="none"/>
      </font>
      <numFmt numFmtId="0" formatCode="General"/>
    </dxf>
    <dxf>
      <font>
        <strike val="0"/>
        <outline val="0"/>
        <shadow val="0"/>
        <u val="none"/>
        <vertAlign val="baseline"/>
        <sz val="11"/>
        <name val="Montserrat"/>
        <scheme val="none"/>
      </font>
      <numFmt numFmtId="166" formatCode="0.00;0.00;;@"/>
      <fill>
        <patternFill patternType="solid">
          <fgColor indexed="64"/>
          <bgColor theme="5" tint="0.79998168889431442"/>
        </patternFill>
      </fill>
    </dxf>
    <dxf>
      <font>
        <strike val="0"/>
        <outline val="0"/>
        <shadow val="0"/>
        <u val="none"/>
        <vertAlign val="baseline"/>
        <sz val="11"/>
        <name val="Montserrat"/>
        <scheme val="none"/>
      </font>
      <numFmt numFmtId="165" formatCode="0;0;;@"/>
      <fill>
        <patternFill patternType="solid">
          <fgColor indexed="64"/>
          <bgColor theme="5" tint="0.79998168889431442"/>
        </patternFill>
      </fill>
    </dxf>
    <dxf>
      <font>
        <strike val="0"/>
        <outline val="0"/>
        <shadow val="0"/>
        <u val="none"/>
        <vertAlign val="baseline"/>
        <sz val="11"/>
        <name val="Montserrat"/>
        <scheme val="none"/>
      </font>
      <numFmt numFmtId="165" formatCode="0;0;;@"/>
      <fill>
        <patternFill patternType="solid">
          <fgColor theme="8" tint="0.59999389629810485"/>
          <bgColor theme="5" tint="0.79998168889431442"/>
        </patternFill>
      </fill>
    </dxf>
    <dxf>
      <font>
        <strike val="0"/>
        <outline val="0"/>
        <shadow val="0"/>
        <u val="none"/>
        <vertAlign val="baseline"/>
        <sz val="11"/>
        <name val="Montserrat"/>
        <scheme val="none"/>
      </font>
    </dxf>
    <dxf>
      <font>
        <b val="0"/>
        <i val="0"/>
        <strike val="0"/>
        <condense val="0"/>
        <extend val="0"/>
        <outline val="0"/>
        <shadow val="0"/>
        <u val="none"/>
        <vertAlign val="baseline"/>
        <sz val="11"/>
        <color theme="1"/>
        <name val="Montserrat"/>
        <scheme val="none"/>
      </font>
      <fill>
        <patternFill patternType="solid">
          <fgColor indexed="64"/>
          <bgColor theme="5" tint="0.39997558519241921"/>
        </patternFill>
      </fill>
      <alignment horizontal="left" vertical="top" textRotation="0" wrapText="0" indent="0" justifyLastLine="0" shrinkToFit="0" readingOrder="0"/>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numFmt numFmtId="1" formatCode="0"/>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top style="thin">
          <color theme="0"/>
        </top>
        <bottom style="thin">
          <color theme="0"/>
        </bottom>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style="thin">
          <color theme="0"/>
        </right>
        <top style="thin">
          <color theme="0"/>
        </top>
        <bottom style="thin">
          <color theme="0"/>
        </bottom>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right style="thin">
          <color theme="0"/>
        </right>
        <top style="thin">
          <color theme="0"/>
        </top>
        <bottom style="thin">
          <color theme="0"/>
        </bottom>
      </border>
    </dxf>
    <dxf>
      <border outline="0">
        <top style="thin">
          <color theme="0"/>
        </top>
      </border>
    </dxf>
    <dxf>
      <border outline="0">
        <right style="thin">
          <color theme="0"/>
        </right>
        <bottom style="thin">
          <color theme="0"/>
        </bottom>
      </border>
    </dxf>
    <dxf>
      <font>
        <strike val="0"/>
        <outline val="0"/>
        <shadow val="0"/>
        <u val="none"/>
        <vertAlign val="baseline"/>
        <sz val="11"/>
        <color theme="1"/>
        <name val="Montserrat"/>
        <scheme val="none"/>
      </font>
    </dxf>
    <dxf>
      <border outline="0">
        <bottom style="thick">
          <color theme="0"/>
        </bottom>
      </border>
    </dxf>
    <dxf>
      <font>
        <b/>
        <i val="0"/>
        <strike val="0"/>
        <condense val="0"/>
        <extend val="0"/>
        <outline val="0"/>
        <shadow val="0"/>
        <u val="none"/>
        <vertAlign val="baseline"/>
        <sz val="11"/>
        <color theme="0"/>
        <name val="Montserrat"/>
        <scheme val="none"/>
      </font>
      <fill>
        <patternFill patternType="solid">
          <fgColor theme="8"/>
          <bgColor theme="8"/>
        </patternFill>
      </fill>
      <alignment horizontal="left" vertical="top" textRotation="0" wrapText="1" indent="0" justifyLastLine="0" shrinkToFit="0" readingOrder="0"/>
      <border diagonalUp="0" diagonalDown="0" outline="0">
        <left style="thin">
          <color theme="0"/>
        </left>
        <right style="thin">
          <color theme="0"/>
        </right>
        <top/>
        <bottom/>
      </border>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fill>
        <patternFill patternType="solid">
          <fgColor indexed="64"/>
          <bgColor rgb="FFFFFF00"/>
        </patternFill>
      </fill>
    </dxf>
    <dxf>
      <font>
        <strike val="0"/>
        <outline val="0"/>
        <shadow val="0"/>
        <u val="none"/>
        <vertAlign val="baseline"/>
        <name val="Montserrat"/>
        <scheme val="none"/>
      </font>
      <fill>
        <patternFill patternType="solid">
          <fgColor indexed="64"/>
          <bgColor rgb="FFFFFF00"/>
        </patternFill>
      </fill>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fill>
        <patternFill patternType="none">
          <fgColor indexed="64"/>
          <bgColor auto="1"/>
        </patternFill>
      </fill>
      <protection locked="0" hidden="0"/>
    </dxf>
    <dxf>
      <font>
        <strike val="0"/>
        <outline val="0"/>
        <shadow val="0"/>
        <u val="none"/>
        <vertAlign val="baseline"/>
        <name val="Montserrat"/>
        <scheme val="none"/>
      </font>
      <numFmt numFmtId="2" formatCode="0.00"/>
      <fill>
        <patternFill patternType="none">
          <fgColor indexed="64"/>
          <bgColor auto="1"/>
        </patternFill>
      </fill>
      <protection locked="0" hidden="0"/>
    </dxf>
    <dxf>
      <font>
        <strike val="0"/>
        <outline val="0"/>
        <shadow val="0"/>
        <u val="none"/>
        <vertAlign val="baseline"/>
        <name val="Montserrat"/>
        <scheme val="none"/>
      </font>
      <numFmt numFmtId="2" formatCode="0.00"/>
      <fill>
        <patternFill patternType="none">
          <fgColor indexed="64"/>
          <bgColor auto="1"/>
        </patternFill>
      </fill>
      <protection locked="0" hidden="0"/>
    </dxf>
    <dxf>
      <font>
        <b val="0"/>
        <i val="0"/>
        <strike val="0"/>
        <condense val="0"/>
        <extend val="0"/>
        <outline val="0"/>
        <shadow val="0"/>
        <u val="none"/>
        <vertAlign val="baseline"/>
        <sz val="11"/>
        <color theme="1"/>
        <name val="Montserrat"/>
        <scheme val="none"/>
      </font>
      <numFmt numFmtId="2" formatCode="0.00"/>
      <fill>
        <patternFill>
          <bgColor theme="5" tint="0.79998168889431442"/>
        </patternFill>
      </fill>
      <protection locked="0" hidden="0"/>
    </dxf>
    <dxf>
      <font>
        <strike val="0"/>
        <outline val="0"/>
        <shadow val="0"/>
        <u val="none"/>
        <vertAlign val="baseline"/>
        <name val="Montserrat"/>
        <scheme val="none"/>
      </font>
      <fill>
        <patternFill patternType="none">
          <fgColor indexed="64"/>
          <bgColor theme="5" tint="0.79998168889431442"/>
        </patternFill>
      </fill>
    </dxf>
    <dxf>
      <font>
        <strike val="0"/>
        <outline val="0"/>
        <shadow val="0"/>
        <u val="none"/>
        <vertAlign val="baseline"/>
        <name val="Montserrat"/>
        <scheme val="none"/>
      </font>
      <numFmt numFmtId="2" formatCode="0.00"/>
      <fill>
        <patternFill patternType="solid">
          <fgColor theme="8" tint="0.59999389629810485"/>
          <bgColor theme="5" tint="0.79998168889431442"/>
        </patternFill>
      </fill>
      <alignment horizontal="left" vertical="bottom" textRotation="0" wrapText="0" indent="0" justifyLastLine="0" shrinkToFit="0" readingOrder="0"/>
      <protection locked="0" hidden="0"/>
    </dxf>
    <dxf>
      <font>
        <strike val="0"/>
        <outline val="0"/>
        <shadow val="0"/>
        <u val="none"/>
        <vertAlign val="baseline"/>
        <name val="Montserrat"/>
        <scheme val="none"/>
      </font>
      <numFmt numFmtId="19" formatCode="dd/mm/yyyy"/>
      <fill>
        <patternFill patternType="none">
          <fgColor indexed="64"/>
          <bgColor auto="1"/>
        </patternFill>
      </fill>
    </dxf>
    <dxf>
      <font>
        <strike val="0"/>
        <outline val="0"/>
        <shadow val="0"/>
        <u val="none"/>
        <vertAlign val="baseline"/>
        <name val="Montserrat"/>
        <scheme val="none"/>
      </font>
      <numFmt numFmtId="19" formatCode="dd/mm/yyyy"/>
      <fill>
        <patternFill patternType="none">
          <fgColor indexed="64"/>
          <bgColor auto="1"/>
        </patternFill>
      </fill>
      <border>
        <right style="thin">
          <color indexed="64"/>
        </right>
      </border>
      <protection locked="0" hidden="0"/>
    </dxf>
    <dxf>
      <font>
        <strike val="0"/>
        <outline val="0"/>
        <shadow val="0"/>
        <u val="none"/>
        <vertAlign val="baseline"/>
        <name val="Montserrat"/>
        <scheme val="none"/>
      </font>
      <fill>
        <patternFill patternType="none">
          <fgColor indexed="64"/>
          <bgColor theme="5" tint="0.79998168889431442"/>
        </patternFill>
      </fill>
      <protection locked="1" hidden="0"/>
    </dxf>
    <dxf>
      <font>
        <strike val="0"/>
        <outline val="0"/>
        <shadow val="0"/>
        <u val="none"/>
        <vertAlign val="baseline"/>
        <name val="Montserrat"/>
        <scheme val="none"/>
      </font>
    </dxf>
    <dxf>
      <font>
        <b/>
        <i val="0"/>
        <strike val="0"/>
        <condense val="0"/>
        <extend val="0"/>
        <outline val="0"/>
        <shadow val="0"/>
        <u val="none"/>
        <vertAlign val="baseline"/>
        <sz val="11"/>
        <color theme="0"/>
        <name val="Montserrat"/>
        <scheme val="none"/>
      </font>
      <fill>
        <patternFill patternType="solid">
          <fgColor indexed="64"/>
          <bgColor theme="8"/>
        </patternFill>
      </fill>
      <alignment horizontal="left" vertical="top" textRotation="0" wrapText="1" indent="0" justifyLastLine="0" shrinkToFit="0" readingOrder="0"/>
    </dxf>
    <dxf>
      <font>
        <b val="0"/>
        <i val="0"/>
        <strike val="0"/>
        <condense val="0"/>
        <extend val="0"/>
        <outline val="0"/>
        <shadow val="0"/>
        <u val="none"/>
        <vertAlign val="baseline"/>
        <sz val="11"/>
        <color theme="1"/>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39997558519241921"/>
        </patternFill>
      </fill>
      <alignment horizontal="left" vertical="top" textRotation="0" wrapText="0" indent="0" justifyLastLine="0" shrinkToFit="0" readingOrder="0"/>
    </dxf>
    <dxf>
      <font>
        <strike val="0"/>
        <outline val="0"/>
        <shadow val="0"/>
        <u val="none"/>
        <vertAlign val="baseline"/>
        <name val="Montserrat"/>
        <scheme val="none"/>
      </font>
      <numFmt numFmtId="0" formatCode="General"/>
      <fill>
        <patternFill patternType="solid">
          <fgColor indexed="64"/>
          <bgColor theme="5" tint="0.79998168889431442"/>
        </patternFill>
      </fill>
    </dxf>
    <dxf>
      <font>
        <b val="0"/>
        <i val="0"/>
        <strike val="0"/>
        <condense val="0"/>
        <extend val="0"/>
        <outline val="0"/>
        <shadow val="0"/>
        <u val="none"/>
        <vertAlign val="baseline"/>
        <sz val="11"/>
        <color theme="1"/>
        <name val="Montserrat"/>
        <scheme val="none"/>
      </font>
      <numFmt numFmtId="2" formatCode="0.00"/>
      <fill>
        <patternFill patternType="solid">
          <fgColor indexed="64"/>
          <bgColor theme="5" tint="0.79998168889431442"/>
        </patternFill>
      </fill>
    </dxf>
    <dxf>
      <font>
        <strike val="0"/>
        <outline val="0"/>
        <shadow val="0"/>
        <u val="none"/>
        <vertAlign val="baseline"/>
        <name val="Montserrat"/>
        <scheme val="none"/>
      </font>
      <numFmt numFmtId="0" formatCode="General"/>
      <fill>
        <patternFill patternType="solid">
          <fgColor indexed="64"/>
          <bgColor theme="5" tint="0.79998168889431442"/>
        </patternFill>
      </fill>
    </dxf>
    <dxf>
      <font>
        <strike val="0"/>
        <outline val="0"/>
        <shadow val="0"/>
        <u val="none"/>
        <vertAlign val="baseline"/>
        <name val="Montserrat"/>
        <scheme val="none"/>
      </font>
      <numFmt numFmtId="171" formatCode="mmm\-yy"/>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39997558519241921"/>
        </patternFill>
      </fill>
      <alignment horizontal="left" vertical="top" textRotation="0" indent="0" justifyLastLine="0" shrinkToFit="0" readingOrder="0"/>
    </dxf>
    <dxf>
      <font>
        <strike val="0"/>
        <outline val="0"/>
        <shadow val="0"/>
        <u val="none"/>
        <vertAlign val="baseline"/>
        <name val="Montserrat"/>
        <scheme val="none"/>
      </font>
      <numFmt numFmtId="1" formatCode="0"/>
      <fill>
        <patternFill patternType="solid">
          <fgColor indexed="64"/>
          <bgColor theme="5" tint="0.79998168889431442"/>
        </patternFill>
      </fill>
      <alignment horizontal="left" vertical="bottom" textRotation="0" wrapText="0" indent="0" justifyLastLine="0" shrinkToFit="0" readingOrder="0"/>
    </dxf>
    <dxf>
      <font>
        <strike val="0"/>
        <outline val="0"/>
        <shadow val="0"/>
        <u val="none"/>
        <vertAlign val="baseline"/>
        <name val="Montserrat"/>
        <scheme val="none"/>
      </font>
      <numFmt numFmtId="0" formatCode="General"/>
      <fill>
        <patternFill patternType="solid">
          <fgColor indexed="64"/>
          <bgColor theme="5" tint="0.79998168889431442"/>
        </patternFill>
      </fill>
      <alignment horizontal="left" vertical="bottom" textRotation="0" wrapText="0" indent="0" justifyLastLine="0" shrinkToFit="0" readingOrder="0"/>
    </dxf>
    <dxf>
      <font>
        <strike val="0"/>
        <outline val="0"/>
        <shadow val="0"/>
        <u val="none"/>
        <vertAlign val="baseline"/>
        <name val="Montserrat"/>
        <scheme val="none"/>
      </font>
      <numFmt numFmtId="22" formatCode="mmm/yy"/>
      <fill>
        <patternFill patternType="solid">
          <fgColor indexed="64"/>
          <bgColor theme="5" tint="0.79998168889431442"/>
        </patternFill>
      </fill>
      <alignment horizontal="left" vertical="bottom" textRotation="0" wrapText="0" indent="0" justifyLastLine="0" shrinkToFit="0" readingOrder="0"/>
    </dxf>
    <dxf>
      <font>
        <strike val="0"/>
        <outline val="0"/>
        <shadow val="0"/>
        <u val="none"/>
        <vertAlign val="baseline"/>
        <name val="Montserrat"/>
        <scheme val="none"/>
      </font>
      <numFmt numFmtId="22" formatCode="mmm/yy"/>
      <fill>
        <patternFill patternType="solid">
          <fgColor indexed="64"/>
          <bgColor theme="5" tint="0.79998168889431442"/>
        </patternFill>
      </fill>
      <alignment horizontal="left" vertical="bottom" textRotation="0" wrapText="0" indent="0" justifyLastLine="0" shrinkToFit="0" readingOrder="0"/>
    </dxf>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79998168889431442"/>
        </patternFill>
      </fill>
    </dxf>
    <dxf>
      <font>
        <strike val="0"/>
        <outline val="0"/>
        <shadow val="0"/>
        <u val="none"/>
        <vertAlign val="baseline"/>
        <name val="Montserrat"/>
        <scheme val="none"/>
      </font>
      <numFmt numFmtId="22" formatCode="mmm/yy"/>
      <fill>
        <patternFill>
          <bgColor theme="5" tint="0.79998168889431442"/>
        </patternFill>
      </fill>
    </dxf>
    <dxf>
      <font>
        <b val="0"/>
        <i val="0"/>
        <strike val="0"/>
        <condense val="0"/>
        <extend val="0"/>
        <outline val="0"/>
        <shadow val="0"/>
        <u val="none"/>
        <vertAlign val="baseline"/>
        <sz val="11"/>
        <color theme="1"/>
        <name val="Montserrat"/>
        <scheme val="none"/>
      </font>
      <fill>
        <patternFill patternType="solid">
          <fgColor indexed="64"/>
          <bgColor theme="5" tint="0.79998168889431442"/>
        </patternFill>
      </fill>
    </dxf>
    <dxf>
      <font>
        <strike val="0"/>
        <outline val="0"/>
        <shadow val="0"/>
        <u val="none"/>
        <vertAlign val="baseline"/>
        <name val="Montserrat"/>
        <scheme val="none"/>
      </font>
      <numFmt numFmtId="22" formatCode="mmm/yy"/>
      <fill>
        <patternFill>
          <bgColor theme="5" tint="0.79998168889431442"/>
        </patternFill>
      </fill>
    </dxf>
    <dxf>
      <font>
        <strike val="0"/>
        <outline val="0"/>
        <shadow val="0"/>
        <u val="none"/>
        <vertAlign val="baseline"/>
        <name val="Montserrat"/>
        <scheme val="none"/>
      </font>
      <fill>
        <patternFill>
          <bgColor theme="5" tint="0.79998168889431442"/>
        </patternFill>
      </fill>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wrapText="1" indent="0" justifyLastLine="0" shrinkToFit="0" readingOrder="0"/>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numFmt numFmtId="1" formatCode="0"/>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top style="thin">
          <color theme="0"/>
        </top>
        <bottom style="thin">
          <color theme="0"/>
        </bottom>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style="thin">
          <color theme="0"/>
        </right>
        <top style="thin">
          <color theme="0"/>
        </top>
        <bottom style="thin">
          <color theme="0"/>
        </bottom>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right style="thin">
          <color theme="0"/>
        </right>
        <top style="thin">
          <color theme="0"/>
        </top>
        <bottom style="thin">
          <color theme="0"/>
        </bottom>
      </border>
    </dxf>
    <dxf>
      <border outline="0">
        <top style="thin">
          <color theme="0"/>
        </top>
      </border>
    </dxf>
    <dxf>
      <border outline="0">
        <right style="thin">
          <color theme="0"/>
        </right>
        <bottom style="thin">
          <color theme="0"/>
        </bottom>
      </border>
    </dxf>
    <dxf>
      <font>
        <strike val="0"/>
        <outline val="0"/>
        <shadow val="0"/>
        <u val="none"/>
        <vertAlign val="baseline"/>
        <name val="Montserrat"/>
        <scheme val="none"/>
      </font>
    </dxf>
    <dxf>
      <border outline="0">
        <bottom style="thick">
          <color theme="0"/>
        </bottom>
      </border>
    </dxf>
    <dxf>
      <font>
        <b/>
        <i val="0"/>
        <strike val="0"/>
        <condense val="0"/>
        <extend val="0"/>
        <outline val="0"/>
        <shadow val="0"/>
        <u val="none"/>
        <vertAlign val="baseline"/>
        <sz val="11"/>
        <color theme="0"/>
        <name val="Montserrat"/>
        <scheme val="none"/>
      </font>
      <fill>
        <patternFill patternType="solid">
          <fgColor theme="8"/>
          <bgColor theme="8"/>
        </patternFill>
      </fill>
      <alignment horizontal="left" vertical="top" textRotation="0" wrapText="1" indent="0" justifyLastLine="0" shrinkToFit="0" readingOrder="0"/>
      <border diagonalUp="0" diagonalDown="0" outline="0">
        <left style="thin">
          <color theme="0"/>
        </left>
        <right style="thin">
          <color theme="0"/>
        </right>
        <top/>
        <bottom/>
      </border>
    </dxf>
    <dxf>
      <font>
        <strike val="0"/>
        <outline val="0"/>
        <shadow val="0"/>
        <u val="none"/>
        <vertAlign val="baseline"/>
        <name val="Montserrat"/>
        <scheme val="none"/>
      </font>
      <fill>
        <patternFill patternType="none">
          <fgColor indexed="64"/>
          <bgColor auto="1"/>
        </patternFill>
      </fill>
    </dxf>
    <dxf>
      <font>
        <strike val="0"/>
        <outline val="0"/>
        <shadow val="0"/>
        <u val="none"/>
        <vertAlign val="baseline"/>
        <name val="Montserrat"/>
        <scheme val="none"/>
      </font>
      <fill>
        <patternFill patternType="none">
          <fgColor indexed="64"/>
          <bgColor auto="1"/>
        </patternFill>
      </fill>
    </dxf>
    <dxf>
      <font>
        <strike val="0"/>
        <outline val="0"/>
        <shadow val="0"/>
        <u val="none"/>
        <vertAlign val="baseline"/>
        <name val="Montserrat"/>
        <scheme val="none"/>
      </font>
      <fill>
        <patternFill patternType="solid">
          <fgColor indexed="64"/>
          <bgColor rgb="FFFFFF00"/>
        </patternFill>
      </fill>
    </dxf>
    <dxf>
      <font>
        <strike val="0"/>
        <outline val="0"/>
        <shadow val="0"/>
        <u val="none"/>
        <vertAlign val="baseline"/>
        <name val="Montserrat"/>
        <scheme val="none"/>
      </font>
      <fill>
        <patternFill patternType="solid">
          <fgColor indexed="64"/>
          <bgColor rgb="FFFFFF00"/>
        </patternFill>
      </fill>
    </dxf>
    <dxf>
      <font>
        <strike val="0"/>
        <outline val="0"/>
        <shadow val="0"/>
        <u val="none"/>
        <vertAlign val="baseline"/>
        <name val="Montserrat"/>
        <scheme val="none"/>
      </font>
      <fill>
        <patternFill patternType="none">
          <fgColor indexed="64"/>
          <bgColor auto="1"/>
        </patternFill>
      </fill>
    </dxf>
    <dxf>
      <border outline="0">
        <bottom style="thin">
          <color theme="0"/>
        </bottom>
      </border>
    </dxf>
    <dxf>
      <font>
        <strike val="0"/>
        <outline val="0"/>
        <shadow val="0"/>
        <u val="none"/>
        <vertAlign val="baseline"/>
        <name val="Montserrat"/>
        <scheme val="none"/>
      </font>
      <fill>
        <patternFill patternType="none">
          <fgColor indexed="64"/>
          <bgColor auto="1"/>
        </patternFill>
      </fill>
    </dxf>
    <dxf>
      <border outline="0">
        <bottom style="thick">
          <color theme="0"/>
        </bottom>
      </border>
    </dxf>
    <dxf>
      <font>
        <b/>
        <i val="0"/>
        <strike val="0"/>
        <condense val="0"/>
        <extend val="0"/>
        <outline val="0"/>
        <shadow val="0"/>
        <u val="none"/>
        <vertAlign val="baseline"/>
        <sz val="11"/>
        <color theme="0"/>
        <name val="Montserrat"/>
        <scheme val="none"/>
      </font>
      <fill>
        <patternFill patternType="solid">
          <fgColor theme="8"/>
          <bgColor theme="8"/>
        </patternFill>
      </fill>
      <alignment horizontal="left" vertical="top" textRotation="0" wrapText="1" indent="0" justifyLastLine="0" shrinkToFit="0" readingOrder="0"/>
      <border diagonalUp="0" diagonalDown="0" outline="0">
        <left style="thin">
          <color theme="0"/>
        </left>
        <right style="thin">
          <color theme="0"/>
        </right>
        <top/>
        <bottom/>
      </border>
    </dxf>
    <dxf>
      <font>
        <b val="0"/>
        <i val="0"/>
        <strike val="0"/>
        <condense val="0"/>
        <extend val="0"/>
        <outline val="0"/>
        <shadow val="0"/>
        <u val="none"/>
        <vertAlign val="baseline"/>
        <sz val="11"/>
        <color theme="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39997558519241921"/>
        </patternFill>
      </fill>
      <alignment horizontal="left" vertical="top" textRotation="0" wrapText="0" indent="0" justifyLastLine="0" shrinkToFit="0" readingOrder="0"/>
    </dxf>
    <dxf>
      <font>
        <strike val="0"/>
        <outline val="0"/>
        <shadow val="0"/>
        <u val="none"/>
        <vertAlign val="baseline"/>
        <sz val="11"/>
        <name val="Montserrat"/>
        <scheme val="none"/>
      </font>
      <numFmt numFmtId="0" formatCode="General"/>
      <fill>
        <patternFill patternType="solid">
          <fgColor indexed="64"/>
          <bgColor theme="5" tint="0.79998168889431442"/>
        </patternFill>
      </fill>
    </dxf>
    <dxf>
      <font>
        <strike val="0"/>
        <outline val="0"/>
        <shadow val="0"/>
        <u val="none"/>
        <vertAlign val="baseline"/>
        <sz val="11"/>
        <name val="Montserrat"/>
        <scheme val="none"/>
      </font>
      <numFmt numFmtId="0" formatCode="General"/>
      <fill>
        <patternFill patternType="solid">
          <fgColor indexed="64"/>
          <bgColor theme="5" tint="0.79998168889431442"/>
        </patternFill>
      </fill>
    </dxf>
    <dxf>
      <font>
        <strike val="0"/>
        <outline val="0"/>
        <shadow val="0"/>
        <u val="none"/>
        <vertAlign val="baseline"/>
        <sz val="11"/>
        <name val="Montserrat"/>
        <scheme val="none"/>
      </font>
      <numFmt numFmtId="165" formatCode="0;0;;@"/>
      <fill>
        <patternFill patternType="solid">
          <fgColor indexed="64"/>
          <bgColor theme="5" tint="0.79998168889431442"/>
        </patternFill>
      </fill>
    </dxf>
    <dxf>
      <font>
        <strike val="0"/>
        <outline val="0"/>
        <shadow val="0"/>
        <u val="none"/>
        <vertAlign val="baseline"/>
        <sz val="11"/>
        <name val="Montserrat"/>
        <scheme val="none"/>
      </font>
      <numFmt numFmtId="165" formatCode="0;0;;@"/>
      <fill>
        <patternFill patternType="solid">
          <fgColor theme="8" tint="0.59999389629810485"/>
          <bgColor theme="5" tint="0.79998168889431442"/>
        </patternFill>
      </fill>
    </dxf>
    <dxf>
      <font>
        <strike val="0"/>
        <outline val="0"/>
        <shadow val="0"/>
        <u val="none"/>
        <vertAlign val="baseline"/>
        <sz val="11"/>
        <name val="Montserrat"/>
        <scheme val="none"/>
      </font>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dxf>
    <dxf>
      <font>
        <b val="0"/>
        <i val="0"/>
        <strike val="0"/>
        <condense val="0"/>
        <extend val="0"/>
        <outline val="0"/>
        <shadow val="0"/>
        <u val="none"/>
        <vertAlign val="baseline"/>
        <sz val="11"/>
        <color theme="1"/>
        <name val="Montserrat"/>
        <scheme val="none"/>
      </font>
    </dxf>
    <dxf>
      <font>
        <strike val="0"/>
        <outline val="0"/>
        <shadow val="0"/>
        <u val="none"/>
        <vertAlign val="baseline"/>
        <sz val="11"/>
        <name val="Montserrat"/>
        <scheme val="none"/>
      </font>
      <numFmt numFmtId="0" formatCode="General"/>
      <fill>
        <patternFill patternType="solid">
          <fgColor indexed="64"/>
          <bgColor theme="5" tint="0.79998168889431442"/>
        </patternFill>
      </fill>
    </dxf>
    <dxf>
      <font>
        <strike val="0"/>
        <outline val="0"/>
        <shadow val="0"/>
        <u val="none"/>
        <vertAlign val="baseline"/>
        <sz val="11"/>
        <name val="Montserrat"/>
        <scheme val="none"/>
      </font>
      <numFmt numFmtId="2" formatCode="0.00"/>
      <fill>
        <patternFill patternType="solid">
          <fgColor indexed="64"/>
          <bgColor theme="5" tint="0.79998168889431442"/>
        </patternFill>
      </fill>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dxf>
    <dxf>
      <font>
        <strike val="0"/>
        <outline val="0"/>
        <shadow val="0"/>
        <u val="none"/>
        <vertAlign val="baseline"/>
        <sz val="11"/>
        <name val="Montserrat"/>
        <scheme val="none"/>
      </font>
      <fill>
        <patternFill patternType="solid">
          <bgColor theme="5" tint="0.79998168889431442"/>
        </patternFill>
      </fill>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wrapText="1" indent="0" justifyLastLine="0" shrinkToFit="0" readingOrder="0"/>
    </dxf>
    <dxf>
      <font>
        <strike val="0"/>
        <outline val="0"/>
        <shadow val="0"/>
        <u val="none"/>
        <vertAlign val="baseline"/>
        <name val="Montserrat"/>
        <scheme val="none"/>
      </font>
      <fill>
        <patternFill patternType="none">
          <fgColor indexed="64"/>
          <bgColor auto="1"/>
        </patternFill>
      </fill>
      <alignment textRotation="0" wrapText="0" indent="0" justifyLastLine="0" shrinkToFit="0" readingOrder="0"/>
      <protection locked="0" hidden="0"/>
    </dxf>
    <dxf>
      <font>
        <strike val="0"/>
        <outline val="0"/>
        <shadow val="0"/>
        <u val="none"/>
        <vertAlign val="baseline"/>
        <name val="Montserrat"/>
        <scheme val="none"/>
      </font>
      <fill>
        <patternFill patternType="none">
          <fgColor indexed="64"/>
          <bgColor auto="1"/>
        </patternFill>
      </fill>
      <alignment textRotation="0" wrapText="0" indent="0" justifyLastLine="0" shrinkToFit="0" readingOrder="0"/>
      <protection locked="0" hidden="0"/>
    </dxf>
    <dxf>
      <font>
        <strike val="0"/>
        <outline val="0"/>
        <shadow val="0"/>
        <u val="none"/>
        <vertAlign val="baseline"/>
        <name val="Montserrat"/>
        <scheme val="none"/>
      </font>
      <fill>
        <patternFill patternType="none">
          <fgColor indexed="64"/>
          <bgColor auto="1"/>
        </patternFill>
      </fill>
      <alignment textRotation="0" wrapText="0" indent="0" justifyLastLine="0" shrinkToFit="0" readingOrder="0"/>
      <protection locked="0" hidden="0"/>
    </dxf>
    <dxf>
      <font>
        <strike val="0"/>
        <outline val="0"/>
        <shadow val="0"/>
        <u val="none"/>
        <vertAlign val="baseline"/>
        <color auto="1"/>
        <name val="Montserrat"/>
        <scheme val="none"/>
      </font>
      <numFmt numFmtId="170" formatCode="yyyy\-mm\-dd;@"/>
      <fill>
        <patternFill patternType="solid">
          <fgColor theme="8" tint="0.79998168889431442"/>
          <bgColor theme="5" tint="0.79998168889431442"/>
        </patternFill>
      </fill>
      <alignment horizontal="left" vertical="bottom" textRotation="0" wrapText="0" indent="0" justifyLastLine="0" shrinkToFit="0" readingOrder="0"/>
      <border diagonalUp="0" diagonalDown="0" outline="0">
        <left style="thin">
          <color theme="0"/>
        </left>
        <right style="thin">
          <color theme="0"/>
        </right>
        <top style="thin">
          <color theme="0"/>
        </top>
        <bottom style="thin">
          <color theme="0"/>
        </bottom>
      </border>
      <protection locked="0" hidden="0"/>
    </dxf>
    <dxf>
      <font>
        <strike val="0"/>
        <outline val="0"/>
        <shadow val="0"/>
        <u val="none"/>
        <vertAlign val="baseline"/>
        <name val="Montserrat"/>
        <scheme val="none"/>
      </font>
      <numFmt numFmtId="170" formatCode="yyyy\-mm\-dd;@"/>
      <fill>
        <patternFill patternType="solid">
          <fgColor theme="8" tint="0.79998168889431442"/>
          <bgColor theme="5" tint="0.79998168889431442"/>
        </patternFill>
      </fill>
      <alignment textRotation="0" wrapText="0" indent="0" justifyLastLine="0" shrinkToFit="0" readingOrder="0"/>
      <border diagonalUp="0" diagonalDown="0">
        <left style="thin">
          <color theme="0"/>
        </left>
        <right style="thin">
          <color theme="0"/>
        </right>
        <top style="thin">
          <color theme="0"/>
        </top>
        <bottom style="thin">
          <color theme="0"/>
        </bottom>
      </border>
    </dxf>
    <dxf>
      <font>
        <strike val="0"/>
        <outline val="0"/>
        <shadow val="0"/>
        <u val="none"/>
        <vertAlign val="baseline"/>
        <color auto="1"/>
        <name val="Montserrat"/>
        <scheme val="none"/>
      </font>
      <numFmt numFmtId="22" formatCode="mmm/yy"/>
      <fill>
        <patternFill patternType="none">
          <fgColor indexed="64"/>
          <bgColor theme="5" tint="0.79998168889431442"/>
        </patternFill>
      </fill>
      <alignment horizontal="left" vertical="bottom" textRotation="0" wrapText="0" indent="0" justifyLastLine="0" shrinkToFit="0" readingOrder="0"/>
      <border diagonalUp="0" diagonalDown="0" outline="0">
        <left style="thin">
          <color indexed="64"/>
        </left>
      </border>
      <protection locked="0" hidden="0"/>
    </dxf>
    <dxf>
      <font>
        <strike val="0"/>
        <outline val="0"/>
        <shadow val="0"/>
        <u val="none"/>
        <vertAlign val="baseline"/>
        <name val="Montserrat"/>
        <scheme val="none"/>
      </font>
      <fill>
        <patternFill patternType="none">
          <fgColor indexed="64"/>
          <bgColor theme="5" tint="0.79998168889431442"/>
        </patternFill>
      </fill>
      <alignment textRotation="0" wrapText="0" indent="0" justifyLastLine="0" shrinkToFit="0" readingOrder="0"/>
    </dxf>
    <dxf>
      <font>
        <strike val="0"/>
        <outline val="0"/>
        <shadow val="0"/>
        <u val="none"/>
        <vertAlign val="baseline"/>
        <name val="Montserrat"/>
        <scheme val="none"/>
      </font>
      <numFmt numFmtId="19" formatCode="dd/mm/yyyy"/>
      <fill>
        <patternFill patternType="none">
          <fgColor indexed="64"/>
          <bgColor auto="1"/>
        </patternFill>
      </fill>
      <alignment textRotation="0" wrapText="0" indent="0" justifyLastLine="0" shrinkToFit="0" readingOrder="0"/>
      <protection locked="0" hidden="0"/>
    </dxf>
    <dxf>
      <font>
        <strike val="0"/>
        <outline val="0"/>
        <shadow val="0"/>
        <u val="none"/>
        <vertAlign val="baseline"/>
        <name val="Montserrat"/>
        <scheme val="none"/>
      </font>
      <fill>
        <patternFill patternType="none">
          <fgColor indexed="64"/>
          <bgColor theme="5" tint="0.79998168889431442"/>
        </patternFill>
      </fill>
      <alignment textRotation="0" wrapText="0" indent="0" justifyLastLine="0" shrinkToFit="0" readingOrder="0"/>
    </dxf>
    <dxf>
      <font>
        <strike val="0"/>
        <outline val="0"/>
        <shadow val="0"/>
        <u val="none"/>
        <vertAlign val="baseline"/>
        <name val="Montserrat"/>
        <scheme val="none"/>
      </font>
      <fill>
        <patternFill patternType="none">
          <fgColor indexed="64"/>
          <bgColor auto="1"/>
        </patternFill>
      </fill>
      <alignment textRotation="0" wrapText="0" indent="0" justifyLastLine="0" shrinkToFit="0" readingOrder="0"/>
    </dxf>
    <dxf>
      <font>
        <b/>
        <i val="0"/>
        <strike val="0"/>
        <condense val="0"/>
        <extend val="0"/>
        <outline val="0"/>
        <shadow val="0"/>
        <u val="none"/>
        <vertAlign val="baseline"/>
        <sz val="11"/>
        <color theme="0"/>
        <name val="Montserrat"/>
        <scheme val="none"/>
      </font>
      <fill>
        <patternFill patternType="solid">
          <fgColor theme="8"/>
          <bgColor theme="8"/>
        </patternFill>
      </fill>
      <alignment horizontal="left" vertical="top" textRotation="0" wrapText="1" indent="0" justifyLastLine="0" shrinkToFit="0" readingOrder="0"/>
      <border diagonalUp="0" diagonalDown="0" outline="0">
        <left style="thin">
          <color theme="0"/>
        </left>
        <right style="thin">
          <color theme="0"/>
        </right>
        <top/>
        <bottom/>
      </border>
    </dxf>
    <dxf>
      <font>
        <b val="0"/>
        <i val="0"/>
        <strike val="0"/>
        <condense val="0"/>
        <extend val="0"/>
        <outline val="0"/>
        <shadow val="0"/>
        <u val="none"/>
        <vertAlign val="baseline"/>
        <sz val="11"/>
        <color auto="1"/>
        <name val="Montserrat"/>
        <scheme val="none"/>
      </font>
      <fill>
        <patternFill patternType="none">
          <fgColor indexed="64"/>
          <bgColor auto="1"/>
        </patternFill>
      </fill>
      <protection locked="0" hidden="0"/>
    </dxf>
    <dxf>
      <font>
        <b val="0"/>
        <i val="0"/>
        <strike val="0"/>
        <condense val="0"/>
        <extend val="0"/>
        <outline val="0"/>
        <shadow val="0"/>
        <u val="none"/>
        <vertAlign val="baseline"/>
        <sz val="11"/>
        <color auto="1"/>
        <name val="Montserrat"/>
        <scheme val="none"/>
      </font>
      <fill>
        <patternFill patternType="none">
          <fgColor indexed="64"/>
          <bgColor auto="1"/>
        </patternFill>
      </fill>
      <protection locked="0" hidden="0"/>
    </dxf>
    <dxf>
      <font>
        <b val="0"/>
        <i val="0"/>
        <strike val="0"/>
        <condense val="0"/>
        <extend val="0"/>
        <outline val="0"/>
        <shadow val="0"/>
        <u val="none"/>
        <vertAlign val="baseline"/>
        <sz val="11"/>
        <color auto="1"/>
        <name val="Montserrat"/>
        <scheme val="none"/>
      </font>
      <fill>
        <patternFill patternType="none">
          <fgColor indexed="64"/>
          <bgColor auto="1"/>
        </patternFill>
      </fill>
      <protection locked="0" hidden="0"/>
    </dxf>
    <dxf>
      <font>
        <strike val="0"/>
        <outline val="0"/>
        <shadow val="0"/>
        <u val="none"/>
        <vertAlign val="baseline"/>
        <color auto="1"/>
        <name val="Montserrat"/>
        <scheme val="none"/>
      </font>
      <numFmt numFmtId="22" formatCode="mmm/yy"/>
      <fill>
        <patternFill patternType="solid">
          <fgColor theme="8" tint="0.59999389629810485"/>
          <bgColor theme="7" tint="0.79998168889431442"/>
        </patternFill>
      </fill>
      <alignment horizontal="left" vertical="bottom" textRotation="0" wrapText="0" indent="0" justifyLastLine="0" shrinkToFit="0" readingOrder="0"/>
      <protection locked="0" hidden="0"/>
    </dxf>
    <dxf>
      <font>
        <strike val="0"/>
        <outline val="0"/>
        <shadow val="0"/>
        <u val="none"/>
        <vertAlign val="baseline"/>
        <name val="Montserrat"/>
        <scheme val="none"/>
      </font>
      <numFmt numFmtId="170" formatCode="yyyy\-mm\-dd;@"/>
      <fill>
        <patternFill patternType="solid">
          <fgColor theme="8" tint="0.79998168889431442"/>
          <bgColor theme="8" tint="0.79998168889431442"/>
        </patternFill>
      </fill>
      <border diagonalUp="0" diagonalDown="0">
        <left style="thin">
          <color theme="0"/>
        </left>
        <right style="thin">
          <color theme="0"/>
        </right>
        <top style="thin">
          <color theme="0"/>
        </top>
        <bottom style="thin">
          <color theme="0"/>
        </bottom>
        <vertical/>
        <horizontal/>
      </border>
    </dxf>
    <dxf>
      <font>
        <strike val="0"/>
        <outline val="0"/>
        <shadow val="0"/>
        <u val="none"/>
        <vertAlign val="baseline"/>
        <color auto="1"/>
        <name val="Montserrat"/>
        <scheme val="none"/>
      </font>
      <numFmt numFmtId="22" formatCode="mmm/yy"/>
      <fill>
        <patternFill patternType="solid">
          <fgColor theme="8" tint="0.59999389629810485"/>
          <bgColor theme="7" tint="0.79998168889431442"/>
        </patternFill>
      </fill>
      <alignment horizontal="left" vertical="bottom" textRotation="0" wrapText="0" indent="0" justifyLastLine="0" shrinkToFit="0" readingOrder="0"/>
      <protection locked="0" hidden="0"/>
    </dxf>
    <dxf>
      <font>
        <strike val="0"/>
        <outline val="0"/>
        <shadow val="0"/>
        <u val="none"/>
        <vertAlign val="baseline"/>
        <name val="Montserrat"/>
        <scheme val="none"/>
      </font>
      <fill>
        <patternFill patternType="solid">
          <fgColor indexed="64"/>
          <bgColor theme="7" tint="0.79998168889431442"/>
        </patternFill>
      </fill>
    </dxf>
    <dxf>
      <font>
        <strike val="0"/>
        <outline val="0"/>
        <shadow val="0"/>
        <u val="none"/>
        <vertAlign val="baseline"/>
        <name val="Montserrat"/>
        <scheme val="none"/>
      </font>
      <numFmt numFmtId="167" formatCode="dd\-mm\-yyyy"/>
      <fill>
        <patternFill patternType="solid">
          <fgColor theme="8" tint="0.59999389629810485"/>
          <bgColor theme="8" tint="0.59999389629810485"/>
        </patternFill>
      </fill>
      <protection locked="0" hidden="0"/>
    </dxf>
    <dxf>
      <font>
        <strike val="0"/>
        <outline val="0"/>
        <shadow val="0"/>
        <u val="none"/>
        <vertAlign val="baseline"/>
        <name val="Montserrat"/>
        <scheme val="none"/>
      </font>
      <fill>
        <patternFill patternType="solid">
          <fgColor theme="8" tint="0.59999389629810485"/>
          <bgColor theme="5" tint="0.79998168889431442"/>
        </patternFill>
      </fill>
    </dxf>
    <dxf>
      <font>
        <b val="0"/>
        <i val="0"/>
        <strike val="0"/>
        <condense val="0"/>
        <extend val="0"/>
        <outline val="0"/>
        <shadow val="0"/>
        <u val="none"/>
        <vertAlign val="baseline"/>
        <sz val="11"/>
        <color auto="1"/>
        <name val="Montserrat"/>
        <scheme val="none"/>
      </font>
      <fill>
        <patternFill patternType="solid">
          <fgColor theme="8" tint="0.79998168889431442"/>
          <bgColor theme="8" tint="0.79998168889431442"/>
        </patternFill>
      </fill>
    </dxf>
    <dxf>
      <font>
        <b/>
        <i val="0"/>
        <strike val="0"/>
        <condense val="0"/>
        <extend val="0"/>
        <outline val="0"/>
        <shadow val="0"/>
        <u val="none"/>
        <vertAlign val="baseline"/>
        <sz val="11"/>
        <color theme="0"/>
        <name val="Montserrat"/>
        <scheme val="none"/>
      </font>
      <fill>
        <patternFill patternType="solid">
          <fgColor theme="8"/>
          <bgColor theme="8"/>
        </patternFill>
      </fill>
      <alignment horizontal="left" vertical="top" textRotation="0" wrapText="1" indent="0" justifyLastLine="0" shrinkToFit="0" readingOrder="0"/>
      <border diagonalUp="0" diagonalDown="0" outline="0">
        <left style="thin">
          <color theme="0"/>
        </left>
        <right style="thin">
          <color theme="0"/>
        </right>
        <top/>
        <bottom/>
      </border>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numFmt numFmtId="1" formatCode="0"/>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alignment textRotation="0" wrapText="1" indent="0" justifyLastLine="0" shrinkToFit="0" readingOrder="0"/>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fill>
        <patternFill patternType="solid">
          <fgColor indexed="64"/>
          <bgColor rgb="FFFFFF00"/>
        </patternFill>
      </fill>
    </dxf>
    <dxf>
      <font>
        <strike val="0"/>
        <outline val="0"/>
        <shadow val="0"/>
        <u val="none"/>
        <vertAlign val="baseline"/>
        <name val="Montserrat"/>
        <scheme val="none"/>
      </font>
      <fill>
        <patternFill patternType="solid">
          <fgColor indexed="64"/>
          <bgColor rgb="FFFFFF00"/>
        </patternFill>
      </fill>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alignment textRotation="0" wrapText="1" indent="0" justifyLastLine="0" shrinkToFit="0" readingOrder="0"/>
    </dxf>
    <dxf>
      <font>
        <strike val="0"/>
        <outline val="0"/>
        <shadow val="0"/>
        <u val="none"/>
        <vertAlign val="baseline"/>
        <name val="Montserrat"/>
        <scheme val="none"/>
      </font>
      <fill>
        <patternFill patternType="none">
          <fgColor indexed="64"/>
          <bgColor auto="1"/>
        </patternFill>
      </fill>
      <protection locked="0" hidden="0"/>
    </dxf>
    <dxf>
      <font>
        <strike val="0"/>
        <outline val="0"/>
        <shadow val="0"/>
        <u val="none"/>
        <vertAlign val="baseline"/>
        <name val="Montserrat"/>
        <scheme val="none"/>
      </font>
      <numFmt numFmtId="2" formatCode="0.00"/>
      <fill>
        <patternFill patternType="none">
          <fgColor indexed="64"/>
          <bgColor auto="1"/>
        </patternFill>
      </fill>
      <protection locked="0" hidden="0"/>
    </dxf>
    <dxf>
      <font>
        <strike val="0"/>
        <outline val="0"/>
        <shadow val="0"/>
        <u val="none"/>
        <vertAlign val="baseline"/>
        <name val="Montserrat"/>
        <scheme val="none"/>
      </font>
      <numFmt numFmtId="2" formatCode="0.00"/>
      <fill>
        <patternFill patternType="none">
          <fgColor indexed="64"/>
          <bgColor auto="1"/>
        </patternFill>
      </fill>
      <protection locked="0" hidden="0"/>
    </dxf>
    <dxf>
      <font>
        <strike val="0"/>
        <outline val="0"/>
        <shadow val="0"/>
        <u val="none"/>
        <vertAlign val="baseline"/>
        <name val="Montserrat"/>
        <scheme val="none"/>
      </font>
      <numFmt numFmtId="2" formatCode="0.00"/>
      <fill>
        <patternFill patternType="none">
          <fgColor indexed="64"/>
          <bgColor theme="5" tint="0.79998168889431442"/>
        </patternFill>
      </fill>
      <alignment horizontal="right" textRotation="0" indent="0" justifyLastLine="0" shrinkToFit="0" readingOrder="0"/>
      <protection locked="0" hidden="0"/>
    </dxf>
    <dxf>
      <font>
        <strike val="0"/>
        <outline val="0"/>
        <shadow val="0"/>
        <u val="none"/>
        <vertAlign val="baseline"/>
        <name val="Montserrat"/>
        <scheme val="none"/>
      </font>
      <fill>
        <patternFill patternType="none">
          <fgColor indexed="64"/>
          <bgColor theme="5" tint="0.79998168889431442"/>
        </patternFill>
      </fill>
    </dxf>
    <dxf>
      <font>
        <strike val="0"/>
        <outline val="0"/>
        <shadow val="0"/>
        <u val="none"/>
        <vertAlign val="baseline"/>
        <name val="Montserrat"/>
        <scheme val="none"/>
      </font>
      <numFmt numFmtId="2" formatCode="0.00"/>
      <fill>
        <patternFill patternType="solid">
          <fgColor theme="8" tint="0.59999389629810485"/>
          <bgColor theme="5" tint="0.79998168889431442"/>
        </patternFill>
      </fill>
      <alignment horizontal="left" vertical="bottom" textRotation="0" wrapText="0" indent="0" justifyLastLine="0" shrinkToFit="0" readingOrder="0"/>
      <protection locked="0" hidden="0"/>
    </dxf>
    <dxf>
      <font>
        <strike val="0"/>
        <outline val="0"/>
        <shadow val="0"/>
        <u val="none"/>
        <vertAlign val="baseline"/>
        <name val="Montserrat"/>
        <scheme val="none"/>
      </font>
      <numFmt numFmtId="19" formatCode="dd/mm/yyyy"/>
      <fill>
        <patternFill patternType="none">
          <fgColor indexed="64"/>
          <bgColor auto="1"/>
        </patternFill>
      </fill>
    </dxf>
    <dxf>
      <font>
        <strike val="0"/>
        <outline val="0"/>
        <shadow val="0"/>
        <u val="none"/>
        <vertAlign val="baseline"/>
        <name val="Montserrat"/>
        <scheme val="none"/>
      </font>
      <numFmt numFmtId="167" formatCode="dd\-mm\-yyyy"/>
      <fill>
        <patternFill patternType="none">
          <fgColor indexed="64"/>
          <bgColor auto="1"/>
        </patternFill>
      </fill>
      <border>
        <right style="thin">
          <color indexed="64"/>
        </right>
      </border>
      <protection locked="0" hidden="0"/>
    </dxf>
    <dxf>
      <font>
        <strike val="0"/>
        <outline val="0"/>
        <shadow val="0"/>
        <u val="none"/>
        <vertAlign val="baseline"/>
        <name val="Montserrat"/>
        <scheme val="none"/>
      </font>
      <fill>
        <patternFill patternType="none">
          <fgColor indexed="64"/>
          <bgColor theme="5" tint="0.79998168889431442"/>
        </patternFill>
      </fill>
    </dxf>
    <dxf>
      <font>
        <strike val="0"/>
        <outline val="0"/>
        <shadow val="0"/>
        <u val="none"/>
        <vertAlign val="baseline"/>
        <name val="Montserrat"/>
        <scheme val="none"/>
      </font>
    </dxf>
    <dxf>
      <font>
        <b/>
        <i val="0"/>
        <strike val="0"/>
        <condense val="0"/>
        <extend val="0"/>
        <outline val="0"/>
        <shadow val="0"/>
        <u val="none"/>
        <vertAlign val="baseline"/>
        <sz val="11"/>
        <color theme="0"/>
        <name val="Montserrat"/>
        <scheme val="none"/>
      </font>
      <fill>
        <patternFill patternType="solid">
          <fgColor indexed="64"/>
          <bgColor theme="8"/>
        </patternFill>
      </fill>
      <alignment horizontal="left" vertical="top" textRotation="0" wrapText="1" indent="0" justifyLastLine="0" shrinkToFit="0" readingOrder="0"/>
    </dxf>
    <dxf>
      <font>
        <b val="0"/>
        <i val="0"/>
        <strike val="0"/>
        <condense val="0"/>
        <extend val="0"/>
        <outline val="0"/>
        <shadow val="0"/>
        <u val="none"/>
        <vertAlign val="baseline"/>
        <sz val="11"/>
        <color theme="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39997558519241921"/>
        </patternFill>
      </fill>
      <alignment horizontal="left" vertical="top" textRotation="0" wrapText="1" indent="0" justifyLastLine="0" shrinkToFit="0" readingOrder="0"/>
    </dxf>
    <dxf>
      <font>
        <strike val="0"/>
        <outline val="0"/>
        <shadow val="0"/>
        <u val="none"/>
        <vertAlign val="baseline"/>
        <name val="Montserrat"/>
        <scheme val="none"/>
      </font>
      <numFmt numFmtId="0" formatCode="General"/>
      <fill>
        <patternFill patternType="solid">
          <fgColor indexed="64"/>
          <bgColor theme="5" tint="0.79998168889431442"/>
        </patternFill>
      </fill>
    </dxf>
    <dxf>
      <font>
        <b val="0"/>
        <i val="0"/>
        <strike val="0"/>
        <condense val="0"/>
        <extend val="0"/>
        <outline val="0"/>
        <shadow val="0"/>
        <u val="none"/>
        <vertAlign val="baseline"/>
        <sz val="11"/>
        <color theme="1"/>
        <name val="Montserrat"/>
        <scheme val="none"/>
      </font>
      <numFmt numFmtId="2" formatCode="0.00"/>
      <fill>
        <patternFill patternType="solid">
          <fgColor indexed="64"/>
          <bgColor theme="5" tint="0.79998168889431442"/>
        </patternFill>
      </fill>
    </dxf>
    <dxf>
      <font>
        <strike val="0"/>
        <outline val="0"/>
        <shadow val="0"/>
        <u val="none"/>
        <vertAlign val="baseline"/>
        <name val="Montserrat"/>
        <scheme val="none"/>
      </font>
      <numFmt numFmtId="0" formatCode="General"/>
      <fill>
        <patternFill patternType="solid">
          <fgColor indexed="64"/>
          <bgColor theme="5" tint="0.79998168889431442"/>
        </patternFill>
      </fill>
    </dxf>
    <dxf>
      <font>
        <strike val="0"/>
        <outline val="0"/>
        <shadow val="0"/>
        <u val="none"/>
        <vertAlign val="baseline"/>
        <name val="Montserrat"/>
        <scheme val="none"/>
      </font>
      <numFmt numFmtId="171" formatCode="mmm\-yy"/>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39997558519241921"/>
        </patternFill>
      </fill>
      <alignment horizontal="left" vertical="top" textRotation="0" wrapText="1" indent="0" justifyLastLine="0" shrinkToFit="0" readingOrder="0"/>
    </dxf>
    <dxf>
      <font>
        <strike val="0"/>
        <outline val="0"/>
        <shadow val="0"/>
        <u val="none"/>
        <vertAlign val="baseline"/>
        <name val="Montserrat"/>
        <scheme val="none"/>
      </font>
      <numFmt numFmtId="0" formatCode="General"/>
      <fill>
        <patternFill>
          <bgColor theme="5" tint="0.79998168889431442"/>
        </patternFill>
      </fill>
    </dxf>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bgColor theme="5" tint="0.79998168889431442"/>
        </patternFill>
      </fill>
    </dxf>
    <dxf>
      <font>
        <strike val="0"/>
        <outline val="0"/>
        <shadow val="0"/>
        <u val="none"/>
        <vertAlign val="baseline"/>
        <name val="Montserrat"/>
        <scheme val="none"/>
      </font>
      <numFmt numFmtId="22" formatCode="mmm/yy"/>
      <fill>
        <patternFill patternType="solid">
          <fgColor indexed="64"/>
          <bgColor theme="5" tint="0.79998168889431442"/>
        </patternFill>
      </fill>
      <alignment horizontal="left" vertical="bottom" textRotation="0" wrapText="0" indent="0" justifyLastLine="0" shrinkToFit="0" readingOrder="0"/>
    </dxf>
    <dxf>
      <font>
        <strike val="0"/>
        <outline val="0"/>
        <shadow val="0"/>
        <u val="none"/>
        <vertAlign val="baseline"/>
        <name val="Montserrat"/>
        <scheme val="none"/>
      </font>
      <numFmt numFmtId="22" formatCode="mmm/yy"/>
      <fill>
        <patternFill patternType="solid">
          <fgColor indexed="64"/>
          <bgColor theme="5" tint="0.79998168889431442"/>
        </patternFill>
      </fill>
      <alignment horizontal="left" vertical="bottom" textRotation="0" wrapText="0" indent="0" justifyLastLine="0" shrinkToFit="0" readingOrder="0"/>
    </dxf>
    <dxf>
      <font>
        <strike val="0"/>
        <outline val="0"/>
        <shadow val="0"/>
        <u val="none"/>
        <vertAlign val="baseline"/>
        <name val="Montserrat"/>
        <scheme val="none"/>
      </font>
      <fill>
        <patternFill>
          <bgColor theme="5" tint="0.79998168889431442"/>
        </patternFill>
      </fill>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wrapText="1" indent="0" justifyLastLine="0" shrinkToFit="0" readingOrder="0"/>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numFmt numFmtId="1" formatCode="0"/>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strike val="0"/>
        <outline val="0"/>
        <shadow val="0"/>
        <u val="none"/>
        <vertAlign val="baseline"/>
        <name val="Montserrat"/>
        <scheme val="none"/>
      </font>
      <fill>
        <patternFill patternType="none">
          <fgColor indexed="64"/>
          <bgColor auto="1"/>
        </patternFill>
      </fill>
    </dxf>
    <dxf>
      <font>
        <strike val="0"/>
        <outline val="0"/>
        <shadow val="0"/>
        <u val="none"/>
        <vertAlign val="baseline"/>
        <name val="Montserrat"/>
        <scheme val="none"/>
      </font>
      <fill>
        <patternFill patternType="none">
          <fgColor indexed="64"/>
          <bgColor auto="1"/>
        </patternFill>
      </fill>
    </dxf>
    <dxf>
      <font>
        <strike val="0"/>
        <outline val="0"/>
        <shadow val="0"/>
        <u val="none"/>
        <vertAlign val="baseline"/>
        <name val="Montserrat"/>
        <scheme val="none"/>
      </font>
      <fill>
        <patternFill patternType="solid">
          <fgColor indexed="64"/>
          <bgColor rgb="FFFFFF00"/>
        </patternFill>
      </fill>
    </dxf>
    <dxf>
      <font>
        <strike val="0"/>
        <outline val="0"/>
        <shadow val="0"/>
        <u val="none"/>
        <vertAlign val="baseline"/>
        <name val="Montserrat"/>
        <scheme val="none"/>
      </font>
      <fill>
        <patternFill patternType="solid">
          <fgColor indexed="64"/>
          <bgColor rgb="FFFFFF00"/>
        </patternFill>
      </fill>
    </dxf>
    <dxf>
      <font>
        <strike val="0"/>
        <outline val="0"/>
        <shadow val="0"/>
        <u val="none"/>
        <vertAlign val="baseline"/>
        <name val="Montserrat"/>
        <scheme val="none"/>
      </font>
      <fill>
        <patternFill patternType="none">
          <fgColor indexed="64"/>
          <bgColor auto="1"/>
        </patternFill>
      </fill>
    </dxf>
    <dxf>
      <border outline="0">
        <bottom style="thin">
          <color theme="0"/>
        </bottom>
      </border>
    </dxf>
    <dxf>
      <font>
        <strike val="0"/>
        <outline val="0"/>
        <shadow val="0"/>
        <u val="none"/>
        <vertAlign val="baseline"/>
        <name val="Montserrat"/>
        <scheme val="none"/>
      </font>
      <fill>
        <patternFill patternType="none">
          <fgColor indexed="64"/>
          <bgColor auto="1"/>
        </patternFill>
      </fill>
    </dxf>
    <dxf>
      <border outline="0">
        <bottom style="thick">
          <color theme="0"/>
        </bottom>
      </border>
    </dxf>
    <dxf>
      <font>
        <b/>
        <i val="0"/>
        <strike val="0"/>
        <condense val="0"/>
        <extend val="0"/>
        <outline val="0"/>
        <shadow val="0"/>
        <u val="none"/>
        <vertAlign val="baseline"/>
        <sz val="11"/>
        <color theme="0"/>
        <name val="Montserrat"/>
        <scheme val="none"/>
      </font>
      <fill>
        <patternFill patternType="solid">
          <fgColor theme="8"/>
          <bgColor theme="8"/>
        </patternFill>
      </fill>
      <border diagonalUp="0" diagonalDown="0" outline="0">
        <left style="thin">
          <color theme="0"/>
        </left>
        <right style="thin">
          <color theme="0"/>
        </right>
        <top/>
        <bottom/>
      </border>
    </dxf>
    <dxf>
      <font>
        <b val="0"/>
        <i val="0"/>
        <strike val="0"/>
        <condense val="0"/>
        <extend val="0"/>
        <outline val="0"/>
        <shadow val="0"/>
        <u val="none"/>
        <vertAlign val="baseline"/>
        <sz val="11"/>
        <color theme="1"/>
        <name val="Montserrat"/>
        <scheme val="none"/>
      </font>
      <fill>
        <patternFill patternType="solid">
          <fgColor theme="8" tint="0.79998168889431442"/>
          <bgColor theme="0" tint="-0.14999847407452621"/>
        </patternFill>
      </fill>
      <border diagonalUp="0" diagonalDown="0">
        <left style="thin">
          <color theme="0"/>
        </left>
        <right/>
        <top style="thin">
          <color theme="0"/>
        </top>
        <bottom style="thin">
          <color theme="0"/>
        </bottom>
      </border>
      <protection locked="0" hidden="0"/>
    </dxf>
    <dxf>
      <font>
        <b val="0"/>
        <i val="0"/>
        <strike val="0"/>
        <condense val="0"/>
        <extend val="0"/>
        <outline val="0"/>
        <shadow val="0"/>
        <u val="none"/>
        <vertAlign val="baseline"/>
        <sz val="11"/>
        <color theme="1"/>
        <name val="Montserrat"/>
        <scheme val="none"/>
      </font>
      <fill>
        <patternFill patternType="solid">
          <fgColor theme="8" tint="0.79998168889431442"/>
          <bgColor theme="8" tint="0.79998168889431442"/>
        </patternFill>
      </fill>
      <border diagonalUp="0" diagonalDown="0">
        <left style="thin">
          <color theme="0"/>
        </left>
        <right style="thin">
          <color theme="0"/>
        </right>
        <top style="thin">
          <color theme="0"/>
        </top>
        <bottom style="thin">
          <color theme="0"/>
        </bottom>
      </border>
      <protection locked="0" hidden="0"/>
    </dxf>
    <dxf>
      <font>
        <b val="0"/>
        <i val="0"/>
        <strike val="0"/>
        <condense val="0"/>
        <extend val="0"/>
        <outline val="0"/>
        <shadow val="0"/>
        <u val="none"/>
        <vertAlign val="baseline"/>
        <sz val="11"/>
        <color theme="1"/>
        <name val="Montserrat"/>
        <scheme val="none"/>
      </font>
      <fill>
        <patternFill patternType="solid">
          <fgColor theme="8" tint="0.79998168889431442"/>
          <bgColor theme="8" tint="0.79998168889431442"/>
        </patternFill>
      </fill>
      <border diagonalUp="0" diagonalDown="0" outline="0">
        <left style="thin">
          <color theme="0"/>
        </left>
        <right style="thin">
          <color theme="0"/>
        </right>
        <top style="thin">
          <color theme="0"/>
        </top>
        <bottom style="thin">
          <color theme="0"/>
        </bottom>
      </border>
      <protection locked="0" hidden="0"/>
    </dxf>
    <dxf>
      <font>
        <strike val="0"/>
        <outline val="0"/>
        <shadow val="0"/>
        <u val="none"/>
        <vertAlign val="baseline"/>
        <name val="Montserrat"/>
        <scheme val="none"/>
      </font>
      <fill>
        <patternFill>
          <bgColor theme="5" tint="0.79998168889431442"/>
        </patternFill>
      </fill>
      <alignment horizontal="right" vertical="bottom" textRotation="0" wrapText="0" indent="0" justifyLastLine="0" shrinkToFit="0" readingOrder="0"/>
      <protection locked="1" hidden="0"/>
    </dxf>
    <dxf>
      <font>
        <b val="0"/>
        <i val="0"/>
        <strike val="0"/>
        <condense val="0"/>
        <extend val="0"/>
        <outline val="0"/>
        <shadow val="0"/>
        <u val="none"/>
        <vertAlign val="baseline"/>
        <sz val="11"/>
        <color theme="1"/>
        <name val="Montserrat"/>
        <scheme val="none"/>
      </font>
      <fill>
        <patternFill patternType="solid">
          <fgColor theme="8" tint="0.59999389629810485"/>
          <bgColor theme="5" tint="0.79998168889431442"/>
        </patternFill>
      </fill>
      <border diagonalUp="0" diagonalDown="0">
        <left style="thin">
          <color theme="0"/>
        </left>
        <right style="thin">
          <color theme="0"/>
        </right>
        <top style="thin">
          <color theme="0"/>
        </top>
        <bottom style="thin">
          <color theme="0"/>
        </bottom>
      </border>
      <protection hidden="0"/>
    </dxf>
    <dxf>
      <font>
        <b val="0"/>
        <i val="0"/>
        <strike val="0"/>
        <condense val="0"/>
        <extend val="0"/>
        <outline val="0"/>
        <shadow val="0"/>
        <u val="none"/>
        <vertAlign val="baseline"/>
        <sz val="11"/>
        <color theme="1"/>
        <name val="Montserrat"/>
        <scheme val="none"/>
      </font>
      <numFmt numFmtId="22" formatCode="mmm/yy"/>
      <fill>
        <patternFill patternType="solid">
          <fgColor theme="8" tint="0.59999389629810485"/>
          <bgColor theme="5" tint="0.79998168889431442"/>
        </patternFill>
      </fill>
      <alignment horizontal="left" vertical="bottom" textRotation="0" wrapText="0" indent="0" justifyLastLine="0" shrinkToFit="0" readingOrder="0"/>
      <border diagonalUp="0" diagonalDown="0">
        <left style="thin">
          <color theme="0"/>
        </left>
        <right style="thin">
          <color theme="0"/>
        </right>
        <top style="thin">
          <color theme="0"/>
        </top>
        <bottom style="thin">
          <color theme="0"/>
        </bottom>
      </border>
      <protection hidden="0"/>
    </dxf>
    <dxf>
      <font>
        <b val="0"/>
        <i val="0"/>
        <strike val="0"/>
        <condense val="0"/>
        <extend val="0"/>
        <outline val="0"/>
        <shadow val="0"/>
        <u val="none"/>
        <vertAlign val="baseline"/>
        <sz val="11"/>
        <color theme="1"/>
        <name val="Montserrat"/>
        <scheme val="none"/>
      </font>
      <fill>
        <patternFill patternType="solid">
          <fgColor indexed="64"/>
          <bgColor theme="5" tint="0.79998168889431442"/>
        </patternFill>
      </fill>
      <border diagonalUp="0" diagonalDown="0">
        <left style="thin">
          <color theme="0"/>
        </left>
        <right style="thin">
          <color theme="0"/>
        </right>
        <top style="thin">
          <color theme="0"/>
        </top>
        <bottom style="thin">
          <color theme="0"/>
        </bottom>
      </border>
      <protection hidden="0"/>
    </dxf>
    <dxf>
      <font>
        <b val="0"/>
        <i val="0"/>
        <strike val="0"/>
        <condense val="0"/>
        <extend val="0"/>
        <outline val="0"/>
        <shadow val="0"/>
        <u val="none"/>
        <vertAlign val="baseline"/>
        <sz val="11"/>
        <color theme="1"/>
        <name val="Montserrat"/>
        <scheme val="none"/>
      </font>
      <numFmt numFmtId="167" formatCode="dd\-mm\-yyyy"/>
      <fill>
        <patternFill patternType="solid">
          <fgColor theme="8" tint="0.79998168889431442"/>
          <bgColor theme="8" tint="0.79998168889431442"/>
        </patternFill>
      </fill>
      <border diagonalUp="0" diagonalDown="0">
        <left style="thin">
          <color theme="0"/>
        </left>
        <right style="thin">
          <color theme="0"/>
        </right>
        <top style="thin">
          <color theme="0"/>
        </top>
        <bottom style="thin">
          <color theme="0"/>
        </bottom>
      </border>
      <protection locked="0" hidden="0"/>
    </dxf>
    <dxf>
      <font>
        <b val="0"/>
        <i val="0"/>
        <strike val="0"/>
        <condense val="0"/>
        <extend val="0"/>
        <outline val="0"/>
        <shadow val="0"/>
        <u val="none"/>
        <vertAlign val="baseline"/>
        <sz val="11"/>
        <color theme="1"/>
        <name val="Montserrat"/>
        <scheme val="none"/>
      </font>
      <numFmt numFmtId="165" formatCode="0;0;;@"/>
      <fill>
        <patternFill patternType="solid">
          <fgColor theme="8" tint="0.79998168889431442"/>
          <bgColor theme="5" tint="0.79998168889431442"/>
        </patternFill>
      </fill>
      <border diagonalUp="0" diagonalDown="0">
        <left/>
        <right style="thin">
          <color theme="0"/>
        </right>
        <top style="thin">
          <color theme="0"/>
        </top>
        <bottom style="thin">
          <color theme="0"/>
        </bottom>
      </border>
      <protection hidden="0"/>
    </dxf>
    <dxf>
      <font>
        <b val="0"/>
        <i val="0"/>
        <strike val="0"/>
        <condense val="0"/>
        <extend val="0"/>
        <outline val="0"/>
        <shadow val="0"/>
        <u val="none"/>
        <vertAlign val="baseline"/>
        <sz val="11"/>
        <color theme="1"/>
        <name val="Montserrat"/>
        <scheme val="none"/>
      </font>
      <fill>
        <patternFill patternType="solid">
          <fgColor theme="8" tint="0.79998168889431442"/>
          <bgColor theme="8" tint="0.79998168889431442"/>
        </patternFill>
      </fill>
    </dxf>
    <dxf>
      <border outline="0">
        <bottom style="thick">
          <color theme="0"/>
        </bottom>
      </border>
    </dxf>
    <dxf>
      <font>
        <b/>
        <i val="0"/>
        <strike val="0"/>
        <condense val="0"/>
        <extend val="0"/>
        <outline val="0"/>
        <shadow val="0"/>
        <u val="none"/>
        <vertAlign val="baseline"/>
        <sz val="11"/>
        <color theme="0"/>
        <name val="Montserrat"/>
        <scheme val="none"/>
      </font>
      <fill>
        <patternFill patternType="solid">
          <fgColor theme="8"/>
          <bgColor theme="8"/>
        </patternFill>
      </fill>
      <alignment horizontal="left" vertical="top" textRotation="0" wrapText="1" indent="0" justifyLastLine="0" shrinkToFit="0" readingOrder="0"/>
      <border diagonalUp="0" diagonalDown="0" outline="0">
        <left style="thin">
          <color theme="0"/>
        </left>
        <right style="thin">
          <color theme="0"/>
        </right>
        <top/>
        <bottom/>
      </border>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b val="0"/>
        <i val="0"/>
        <strike val="0"/>
        <condense val="0"/>
        <extend val="0"/>
        <outline val="0"/>
        <shadow val="0"/>
        <u val="none"/>
        <vertAlign val="baseline"/>
        <sz val="11"/>
        <color theme="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39997558519241921"/>
        </patternFill>
      </fill>
      <alignment horizontal="left" vertical="top" textRotation="0" wrapText="0" indent="0" justifyLastLine="0" shrinkToFit="0" readingOrder="0"/>
    </dxf>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79998168889431442"/>
        </patternFill>
      </fill>
    </dxf>
    <dxf>
      <font>
        <strike val="0"/>
        <outline val="0"/>
        <shadow val="0"/>
        <u val="none"/>
        <vertAlign val="baseline"/>
        <sz val="11"/>
        <name val="Montserrat"/>
        <scheme val="none"/>
      </font>
      <numFmt numFmtId="0" formatCode="General"/>
      <fill>
        <patternFill patternType="solid">
          <fgColor indexed="64"/>
          <bgColor theme="5" tint="0.79998168889431442"/>
        </patternFill>
      </fill>
      <protection hidden="0"/>
    </dxf>
    <dxf>
      <font>
        <b val="0"/>
        <i val="0"/>
        <strike val="0"/>
        <condense val="0"/>
        <extend val="0"/>
        <outline val="0"/>
        <shadow val="0"/>
        <u val="none"/>
        <vertAlign val="baseline"/>
        <sz val="11"/>
        <color theme="1"/>
        <name val="Montserrat"/>
        <scheme val="none"/>
      </font>
      <numFmt numFmtId="0" formatCode="General"/>
      <fill>
        <patternFill patternType="solid">
          <fgColor indexed="64"/>
          <bgColor rgb="FFFFFF00"/>
        </patternFill>
      </fill>
    </dxf>
    <dxf>
      <font>
        <b val="0"/>
        <i val="0"/>
        <strike val="0"/>
        <condense val="0"/>
        <extend val="0"/>
        <outline val="0"/>
        <shadow val="0"/>
        <u val="none"/>
        <vertAlign val="baseline"/>
        <sz val="11"/>
        <color theme="1"/>
        <name val="Montserrat"/>
        <scheme val="none"/>
      </font>
      <numFmt numFmtId="2" formatCode="0.00"/>
      <fill>
        <patternFill patternType="solid">
          <fgColor indexed="64"/>
          <bgColor theme="5" tint="0.79998168889431442"/>
        </patternFill>
      </fill>
      <protection hidden="0"/>
    </dxf>
    <dxf>
      <font>
        <b val="0"/>
        <i val="0"/>
        <strike val="0"/>
        <condense val="0"/>
        <extend val="0"/>
        <outline val="0"/>
        <shadow val="0"/>
        <u val="none"/>
        <vertAlign val="baseline"/>
        <sz val="11"/>
        <color rgb="FF000000"/>
        <name val="Montserrat"/>
        <scheme val="none"/>
      </font>
      <numFmt numFmtId="165" formatCode="0;0;;@"/>
      <fill>
        <patternFill patternType="solid">
          <fgColor indexed="64"/>
          <bgColor theme="5" tint="0.79998168889431442"/>
        </patternFill>
      </fill>
    </dxf>
    <dxf>
      <font>
        <strike val="0"/>
        <outline val="0"/>
        <shadow val="0"/>
        <u val="none"/>
        <vertAlign val="baseline"/>
        <sz val="11"/>
        <name val="Montserrat"/>
        <scheme val="none"/>
      </font>
      <numFmt numFmtId="165" formatCode="0;0;;@"/>
      <fill>
        <patternFill patternType="solid">
          <fgColor indexed="64"/>
          <bgColor theme="5" tint="0.79998168889431442"/>
        </patternFill>
      </fill>
      <protection hidden="0"/>
    </dxf>
    <dxf>
      <font>
        <b val="0"/>
        <i val="0"/>
        <strike val="0"/>
        <condense val="0"/>
        <extend val="0"/>
        <outline val="0"/>
        <shadow val="0"/>
        <u val="none"/>
        <vertAlign val="baseline"/>
        <sz val="11"/>
        <color rgb="FF000000"/>
        <name val="Montserrat"/>
        <scheme val="none"/>
      </font>
      <fill>
        <patternFill patternType="solid">
          <fgColor theme="8" tint="0.59999389629810485"/>
          <bgColor theme="5" tint="0.79998168889431442"/>
        </patternFill>
      </fill>
    </dxf>
    <dxf>
      <font>
        <strike val="0"/>
        <outline val="0"/>
        <shadow val="0"/>
        <u val="none"/>
        <vertAlign val="baseline"/>
        <sz val="11"/>
        <name val="Montserrat"/>
        <scheme val="none"/>
      </font>
      <numFmt numFmtId="165" formatCode="0;0;;@"/>
      <fill>
        <patternFill patternType="solid">
          <fgColor theme="8" tint="0.59999389629810485"/>
          <bgColor theme="5" tint="0.79998168889431442"/>
        </patternFill>
      </fill>
      <protection hidden="0"/>
    </dxf>
    <dxf>
      <font>
        <strike val="0"/>
        <outline val="0"/>
        <shadow val="0"/>
        <u val="none"/>
        <vertAlign val="baseline"/>
        <sz val="11"/>
        <name val="Montserrat"/>
        <scheme val="none"/>
      </font>
      <protection hidden="0"/>
    </dxf>
    <dxf>
      <font>
        <b val="0"/>
        <i val="0"/>
        <strike val="0"/>
        <condense val="0"/>
        <extend val="0"/>
        <outline val="0"/>
        <shadow val="0"/>
        <u val="none"/>
        <vertAlign val="baseline"/>
        <sz val="11"/>
        <color theme="1"/>
        <name val="Montserrat"/>
        <scheme val="none"/>
      </font>
      <fill>
        <patternFill patternType="solid">
          <fgColor indexed="64"/>
          <bgColor theme="5" tint="0.39997558519241921"/>
        </patternFill>
      </fill>
      <alignment horizontal="left" vertical="top" textRotation="0" wrapText="0" indent="0" justifyLastLine="0" shrinkToFit="0" readingOrder="0"/>
      <protection hidden="0"/>
    </dxf>
    <dxf>
      <font>
        <strike val="0"/>
        <outline val="0"/>
        <shadow val="0"/>
        <u val="none"/>
        <vertAlign val="baseline"/>
        <sz val="11"/>
        <name val="Montserrat"/>
        <scheme val="none"/>
      </font>
      <numFmt numFmtId="0" formatCode="General"/>
      <fill>
        <patternFill patternType="solid">
          <bgColor theme="5" tint="0.79998168889431442"/>
        </patternFill>
      </fill>
      <protection hidden="0"/>
    </dxf>
    <dxf>
      <font>
        <b val="0"/>
        <i val="0"/>
        <strike val="0"/>
        <condense val="0"/>
        <extend val="0"/>
        <outline val="0"/>
        <shadow val="0"/>
        <u val="none"/>
        <vertAlign val="baseline"/>
        <sz val="11"/>
        <color theme="1"/>
        <name val="Montserrat"/>
        <scheme val="none"/>
      </font>
    </dxf>
    <dxf>
      <font>
        <strike val="0"/>
        <outline val="0"/>
        <shadow val="0"/>
        <u val="none"/>
        <vertAlign val="baseline"/>
        <sz val="11"/>
        <name val="Montserrat"/>
        <scheme val="none"/>
      </font>
      <numFmt numFmtId="0" formatCode="General"/>
      <fill>
        <patternFill patternType="solid">
          <fgColor indexed="64"/>
          <bgColor theme="5" tint="0.79998168889431442"/>
        </patternFill>
      </fill>
      <protection hidden="0"/>
    </dxf>
    <dxf>
      <font>
        <strike val="0"/>
        <outline val="0"/>
        <shadow val="0"/>
        <u val="none"/>
        <vertAlign val="baseline"/>
        <sz val="11"/>
        <name val="Montserrat"/>
        <scheme val="none"/>
      </font>
      <numFmt numFmtId="2" formatCode="0.00"/>
      <fill>
        <patternFill patternType="solid">
          <fgColor indexed="64"/>
          <bgColor theme="5" tint="0.79998168889431442"/>
        </patternFill>
      </fill>
      <protection hidden="0"/>
    </dxf>
    <dxf>
      <font>
        <b val="0"/>
        <i val="0"/>
        <strike val="0"/>
        <condense val="0"/>
        <extend val="0"/>
        <outline val="0"/>
        <shadow val="0"/>
        <u val="none"/>
        <vertAlign val="baseline"/>
        <sz val="11"/>
        <color theme="1"/>
        <name val="Montserrat"/>
        <scheme val="none"/>
      </font>
      <fill>
        <patternFill patternType="solid">
          <fgColor theme="8" tint="0.59999389629810485"/>
          <bgColor theme="5" tint="0.79998168889431442"/>
        </patternFill>
      </fill>
      <protection hidden="0"/>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protection hidden="0"/>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protection hidden="0"/>
    </dxf>
    <dxf>
      <font>
        <strike val="0"/>
        <outline val="0"/>
        <shadow val="0"/>
        <u val="none"/>
        <vertAlign val="baseline"/>
        <sz val="11"/>
        <name val="Montserrat"/>
        <scheme val="none"/>
      </font>
      <fill>
        <patternFill patternType="solid">
          <bgColor theme="5" tint="0.79998168889431442"/>
        </patternFill>
      </fill>
      <protection hidden="0"/>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wrapText="1" indent="0" justifyLastLine="0" shrinkToFit="0" readingOrder="0"/>
      <protection hidden="0"/>
    </dxf>
    <dxf>
      <font>
        <strike val="0"/>
        <outline val="0"/>
        <shadow val="0"/>
        <u val="none"/>
        <vertAlign val="baseline"/>
        <sz val="11"/>
        <name val="Montserrat"/>
        <scheme val="none"/>
      </font>
      <fill>
        <patternFill patternType="solid">
          <fgColor theme="8" tint="0.79998168889431442"/>
          <bgColor theme="0" tint="-0.14999847407452621"/>
        </patternFill>
      </fill>
      <protection locked="0" hidden="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border outline="0">
        <left style="thin">
          <color theme="0"/>
        </left>
      </border>
      <protection locked="0" hidden="0"/>
    </dxf>
    <dxf>
      <font>
        <strike val="0"/>
        <outline val="0"/>
        <shadow val="0"/>
        <u val="none"/>
        <vertAlign val="baseline"/>
        <sz val="11"/>
        <name val="Montserrat"/>
        <scheme val="none"/>
      </font>
      <numFmt numFmtId="30" formatCode="@"/>
      <fill>
        <patternFill>
          <bgColor theme="5" tint="0.79998168889431442"/>
        </patternFill>
      </fill>
      <alignment horizontal="right" vertical="bottom" textRotation="0" wrapText="0" indent="0" justifyLastLine="0" shrinkToFit="0" readingOrder="0"/>
      <protection locked="0" hidden="0"/>
    </dxf>
    <dxf>
      <font>
        <strike val="0"/>
        <outline val="0"/>
        <shadow val="0"/>
        <u val="none"/>
        <vertAlign val="baseline"/>
        <sz val="11"/>
        <name val="Montserrat"/>
        <scheme val="none"/>
      </font>
      <fill>
        <patternFill patternType="solid">
          <fgColor theme="8" tint="0.59999389629810485"/>
          <bgColor theme="5" tint="0.79998168889431442"/>
        </patternFill>
      </fill>
      <protection hidden="0"/>
    </dxf>
    <dxf>
      <font>
        <strike val="0"/>
        <outline val="0"/>
        <shadow val="0"/>
        <u val="none"/>
        <vertAlign val="baseline"/>
        <sz val="11"/>
        <name val="Montserrat"/>
        <scheme val="none"/>
      </font>
      <numFmt numFmtId="22" formatCode="mmm/yy"/>
      <fill>
        <patternFill patternType="solid">
          <fgColor theme="8" tint="0.59999389629810485"/>
          <bgColor theme="5" tint="0.79998168889431442"/>
        </patternFill>
      </fill>
      <alignment horizontal="left" vertical="bottom" textRotation="0" wrapText="0" indent="0" justifyLastLine="0" shrinkToFit="0" readingOrder="0"/>
      <border diagonalUp="0" diagonalDown="0">
        <left style="thin">
          <color indexed="64"/>
        </left>
      </border>
      <protection hidden="0"/>
    </dxf>
    <dxf>
      <font>
        <b val="0"/>
        <i val="0"/>
        <strike val="0"/>
        <condense val="0"/>
        <extend val="0"/>
        <outline val="0"/>
        <shadow val="0"/>
        <u val="none"/>
        <vertAlign val="baseline"/>
        <sz val="11"/>
        <color theme="1"/>
        <name val="Montserrat"/>
        <scheme val="none"/>
      </font>
      <numFmt numFmtId="22" formatCode="mmm/yy"/>
      <fill>
        <patternFill patternType="solid">
          <fgColor theme="8" tint="0.59999389629810485"/>
          <bgColor theme="7" tint="0.79998168889431442"/>
        </patternFill>
      </fill>
      <alignment horizontal="left" vertical="bottom" textRotation="0" wrapText="0" indent="0" justifyLastLine="0" shrinkToFit="0" readingOrder="0"/>
    </dxf>
    <dxf>
      <font>
        <strike val="0"/>
        <outline val="0"/>
        <shadow val="0"/>
        <u val="none"/>
        <vertAlign val="baseline"/>
        <sz val="11"/>
        <name val="Montserrat"/>
        <scheme val="none"/>
      </font>
      <numFmt numFmtId="167" formatCode="dd\-mm\-yyyy"/>
      <fill>
        <patternFill patternType="solid">
          <fgColor theme="8" tint="0.59999389629810485"/>
          <bgColor theme="8" tint="0.59999389629810485"/>
        </patternFill>
      </fill>
      <protection locked="0" hidden="0"/>
    </dxf>
    <dxf>
      <font>
        <strike val="0"/>
        <outline val="0"/>
        <shadow val="0"/>
        <u val="none"/>
        <vertAlign val="baseline"/>
        <sz val="11"/>
        <name val="Montserrat"/>
        <scheme val="none"/>
      </font>
      <fill>
        <patternFill patternType="solid">
          <fgColor theme="8" tint="0.59999389629810485"/>
          <bgColor theme="5" tint="0.79998168889431442"/>
        </patternFill>
      </fill>
      <protection hidden="0"/>
    </dxf>
    <dxf>
      <font>
        <strike val="0"/>
        <outline val="0"/>
        <shadow val="0"/>
        <u val="none"/>
        <vertAlign val="baseline"/>
        <sz val="11"/>
        <name val="Montserrat"/>
        <scheme val="none"/>
      </font>
    </dxf>
    <dxf>
      <font>
        <b/>
        <i val="0"/>
        <strike val="0"/>
        <condense val="0"/>
        <extend val="0"/>
        <outline val="0"/>
        <shadow val="0"/>
        <u val="none"/>
        <vertAlign val="baseline"/>
        <sz val="11"/>
        <color theme="0"/>
        <name val="Montserrat"/>
        <scheme val="none"/>
      </font>
      <fill>
        <patternFill patternType="solid">
          <fgColor indexed="64"/>
          <bgColor theme="8"/>
        </patternFill>
      </fill>
      <alignment horizontal="left" vertical="top" textRotation="0" wrapText="1" indent="0" justifyLastLine="0" shrinkToFit="0" readingOrder="0"/>
    </dxf>
    <dxf>
      <font>
        <b val="0"/>
        <i val="0"/>
        <strike val="0"/>
        <condense val="0"/>
        <extend val="0"/>
        <outline val="0"/>
        <shadow val="0"/>
        <u val="none"/>
        <vertAlign val="baseline"/>
        <sz val="11"/>
        <color theme="1"/>
        <name val="Montserrat"/>
        <scheme val="none"/>
      </font>
      <numFmt numFmtId="164" formatCode="0.0"/>
      <fill>
        <patternFill patternType="solid">
          <fgColor indexed="64"/>
          <bgColor theme="5" tint="0.59999389629810485"/>
        </patternFill>
      </fill>
      <alignment horizontal="right" vertical="bottom" textRotation="0" wrapText="0" indent="0" justifyLastLine="0" shrinkToFit="0" readingOrder="0"/>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Montserrat"/>
        <scheme val="none"/>
      </font>
      <numFmt numFmtId="1" formatCode="0"/>
      <fill>
        <patternFill patternType="solid">
          <fgColor indexed="64"/>
          <bgColor theme="5" tint="0.59999389629810485"/>
        </patternFill>
      </fill>
      <alignment horizontal="right" vertical="bottom" textRotation="0" wrapText="0" indent="0" justifyLastLine="0" shrinkToFit="0" readingOrder="0"/>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Montserrat"/>
        <scheme val="none"/>
      </font>
      <numFmt numFmtId="1" formatCode="0"/>
      <fill>
        <patternFill patternType="solid">
          <fgColor indexed="64"/>
          <bgColor theme="5" tint="0.59999389629810485"/>
        </patternFill>
      </fill>
      <alignment horizontal="right" vertical="bottom" textRotation="0" wrapText="0" indent="0" justifyLastLine="0" shrinkToFit="0" readingOrder="0"/>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Montserrat"/>
        <scheme val="none"/>
      </font>
      <numFmt numFmtId="165" formatCode="0;0;;@"/>
      <fill>
        <patternFill patternType="solid">
          <fgColor indexed="64"/>
          <bgColor theme="5" tint="0.59999389629810485"/>
        </patternFill>
      </fill>
      <border diagonalUp="0" diagonalDown="0">
        <left/>
        <right/>
        <top style="thin">
          <color theme="0"/>
        </top>
        <bottom/>
        <vertical/>
        <horizontal/>
      </border>
    </dxf>
    <dxf>
      <font>
        <b val="0"/>
        <i val="0"/>
        <strike val="0"/>
        <condense val="0"/>
        <extend val="0"/>
        <outline val="0"/>
        <shadow val="0"/>
        <u val="none"/>
        <vertAlign val="baseline"/>
        <sz val="11"/>
        <color theme="1"/>
        <name val="Montserrat"/>
        <scheme val="none"/>
      </font>
      <fill>
        <patternFill patternType="solid">
          <fgColor indexed="64"/>
          <bgColor theme="5" tint="0.59999389629810485"/>
        </patternFill>
      </fill>
      <alignment horizontal="right" vertical="bottom" textRotation="0" wrapText="0" indent="0" justifyLastLine="0" shrinkToFit="0" readingOrder="0"/>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wrapText="1" indent="0" justifyLastLine="0" shrinkToFit="0" readingOrder="0"/>
    </dxf>
    <dxf>
      <font>
        <strike val="0"/>
        <outline val="0"/>
        <shadow val="0"/>
        <u val="none"/>
        <vertAlign val="baseline"/>
        <sz val="11"/>
        <name val="Montserrat"/>
        <scheme val="none"/>
      </font>
      <numFmt numFmtId="165" formatCode="0;0;;@"/>
      <fill>
        <patternFill patternType="solid">
          <fgColor indexed="64"/>
          <bgColor theme="0" tint="-0.14999847407452621"/>
        </patternFill>
      </fill>
      <protection locked="0" hidden="0"/>
    </dxf>
    <dxf>
      <font>
        <b val="0"/>
        <i val="0"/>
        <strike val="0"/>
        <condense val="0"/>
        <extend val="0"/>
        <outline val="0"/>
        <shadow val="0"/>
        <u val="none"/>
        <vertAlign val="baseline"/>
        <sz val="11"/>
        <color theme="1"/>
        <name val="Montserrat"/>
        <scheme val="none"/>
      </font>
      <protection locked="0" hidden="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numFmt numFmtId="172" formatCode="0.00000"/>
      <fill>
        <patternFill patternType="none">
          <fgColor indexed="64"/>
          <bgColor auto="1"/>
        </patternFill>
      </fill>
      <alignment horizontal="left" vertical="top" textRotation="0" wrapText="1" indent="0" justifyLastLine="0" shrinkToFit="0" readingOrder="0"/>
      <protection locked="0" hidden="0"/>
    </dxf>
    <dxf>
      <font>
        <strike val="0"/>
        <outline val="0"/>
        <shadow val="0"/>
        <u val="none"/>
        <vertAlign val="baseline"/>
        <sz val="11"/>
        <name val="Montserrat"/>
        <scheme val="none"/>
      </font>
      <numFmt numFmtId="165" formatCode="0;0;;@"/>
      <fill>
        <patternFill patternType="solid">
          <fgColor indexed="64"/>
          <bgColor theme="0" tint="-0.14999847407452621"/>
        </patternFill>
      </fill>
      <protection locked="0" hidden="0"/>
    </dxf>
    <dxf>
      <font>
        <strike val="0"/>
        <outline val="0"/>
        <shadow val="0"/>
        <u val="none"/>
        <vertAlign val="baseline"/>
        <sz val="11"/>
        <name val="Montserrat"/>
        <scheme val="none"/>
      </font>
      <numFmt numFmtId="165" formatCode="0;0;;@"/>
      <fill>
        <patternFill patternType="none">
          <fgColor indexed="64"/>
          <bgColor auto="1"/>
        </patternFill>
      </fill>
      <protection locked="0" hidden="0"/>
    </dxf>
    <dxf>
      <font>
        <strike val="0"/>
        <outline val="0"/>
        <shadow val="0"/>
        <u val="none"/>
        <vertAlign val="baseline"/>
        <sz val="11"/>
        <name val="Montserrat"/>
        <scheme val="none"/>
      </font>
      <protection locked="0" hidden="0"/>
    </dxf>
    <dxf>
      <font>
        <b/>
        <i val="0"/>
        <strike val="0"/>
        <condense val="0"/>
        <extend val="0"/>
        <outline val="0"/>
        <shadow val="0"/>
        <u val="none"/>
        <vertAlign val="baseline"/>
        <sz val="11"/>
        <color theme="1"/>
        <name val="Montserrat"/>
        <scheme val="none"/>
      </font>
      <fill>
        <patternFill patternType="solid">
          <fgColor indexed="64"/>
          <bgColor theme="8"/>
        </patternFill>
      </fill>
      <alignment horizontal="left" vertical="top" textRotation="0" wrapText="1" indent="0" justifyLastLine="0" shrinkToFit="0" readingOrder="0"/>
      <border diagonalUp="0" diagonalDown="0" outline="0">
        <left style="thin">
          <color indexed="64"/>
        </left>
        <right style="thin">
          <color indexed="64"/>
        </right>
        <top/>
        <bottom/>
      </border>
    </dxf>
    <dxf>
      <font>
        <strike val="0"/>
        <outline val="0"/>
        <shadow val="0"/>
        <u val="none"/>
        <vertAlign val="baseline"/>
        <sz val="11"/>
        <name val="Montserrat"/>
        <scheme val="none"/>
      </font>
      <numFmt numFmtId="165" formatCode="0;0;;@"/>
      <fill>
        <patternFill patternType="solid">
          <fgColor indexed="64"/>
          <bgColor theme="0" tint="-0.14999847407452621"/>
        </patternFill>
      </fill>
      <protection locked="0" hidden="0"/>
    </dxf>
    <dxf>
      <font>
        <strike val="0"/>
        <outline val="0"/>
        <shadow val="0"/>
        <u val="none"/>
        <vertAlign val="baseline"/>
        <sz val="11"/>
        <name val="Montserrat"/>
        <scheme val="none"/>
      </font>
      <numFmt numFmtId="2" formatCode="0.00"/>
      <fill>
        <patternFill patternType="solid">
          <fgColor indexed="64"/>
          <bgColor theme="5" tint="0.59999389629810485"/>
        </patternFill>
      </fill>
    </dxf>
    <dxf>
      <font>
        <strike val="0"/>
        <outline val="0"/>
        <shadow val="0"/>
        <u val="none"/>
        <vertAlign val="baseline"/>
        <sz val="11"/>
        <name val="Montserrat"/>
        <scheme val="none"/>
      </font>
      <numFmt numFmtId="2" formatCode="0.00"/>
      <protection locked="0" hidden="0"/>
    </dxf>
    <dxf>
      <font>
        <strike val="0"/>
        <outline val="0"/>
        <shadow val="0"/>
        <u val="none"/>
        <vertAlign val="baseline"/>
        <sz val="11"/>
        <name val="Montserrat"/>
        <scheme val="none"/>
      </font>
      <numFmt numFmtId="0" formatCode="General"/>
      <protection locked="0" hidden="0"/>
    </dxf>
    <dxf>
      <font>
        <strike val="0"/>
        <outline val="0"/>
        <shadow val="0"/>
        <u val="none"/>
        <vertAlign val="baseline"/>
        <sz val="11"/>
        <name val="Montserrat"/>
        <scheme val="none"/>
      </font>
      <numFmt numFmtId="0" formatCode="General"/>
      <protection locked="0" hidden="0"/>
    </dxf>
    <dxf>
      <font>
        <strike val="0"/>
        <outline val="0"/>
        <shadow val="0"/>
        <u val="none"/>
        <vertAlign val="baseline"/>
        <sz val="11"/>
        <name val="Montserrat"/>
        <scheme val="none"/>
      </font>
      <numFmt numFmtId="2" formatCode="0.00"/>
      <protection locked="0" hidden="0"/>
    </dxf>
    <dxf>
      <font>
        <strike val="0"/>
        <outline val="0"/>
        <shadow val="0"/>
        <u val="none"/>
        <vertAlign val="baseline"/>
        <sz val="11"/>
        <name val="Montserrat"/>
        <scheme val="none"/>
      </font>
      <numFmt numFmtId="2" formatCode="0.00"/>
      <protection locked="0" hidden="0"/>
    </dxf>
    <dxf>
      <font>
        <strike val="0"/>
        <outline val="0"/>
        <shadow val="0"/>
        <u val="none"/>
        <vertAlign val="baseline"/>
        <sz val="11"/>
        <name val="Montserrat"/>
        <scheme val="none"/>
      </font>
      <numFmt numFmtId="169" formatCode="yyyy\-mm\-dd"/>
      <protection locked="0" hidden="0"/>
    </dxf>
    <dxf>
      <font>
        <strike val="0"/>
        <outline val="0"/>
        <shadow val="0"/>
        <u val="none"/>
        <vertAlign val="baseline"/>
        <sz val="11"/>
        <name val="Montserrat"/>
        <scheme val="none"/>
      </font>
      <numFmt numFmtId="169" formatCode="yyyy\-mm\-dd"/>
      <protection locked="0" hidden="0"/>
    </dxf>
    <dxf>
      <font>
        <strike val="0"/>
        <outline val="0"/>
        <shadow val="0"/>
        <u val="none"/>
        <vertAlign val="baseline"/>
        <sz val="11"/>
        <name val="Montserrat"/>
        <scheme val="none"/>
      </font>
      <numFmt numFmtId="165" formatCode="0;0;;@"/>
      <fill>
        <patternFill>
          <fgColor indexed="64"/>
          <bgColor theme="0" tint="-0.14999847407452621"/>
        </patternFill>
      </fill>
      <protection locked="0" hidden="0"/>
    </dxf>
    <dxf>
      <font>
        <strike val="0"/>
        <outline val="0"/>
        <shadow val="0"/>
        <u val="none"/>
        <vertAlign val="baseline"/>
        <sz val="11"/>
        <name val="Montserrat"/>
        <scheme val="none"/>
      </font>
      <numFmt numFmtId="165" formatCode="0;0;;@"/>
      <protection locked="0" hidden="0"/>
    </dxf>
    <dxf>
      <font>
        <strike val="0"/>
        <outline val="0"/>
        <shadow val="0"/>
        <u val="none"/>
        <vertAlign val="baseline"/>
        <sz val="11"/>
        <name val="Montserrat"/>
        <scheme val="none"/>
      </font>
      <numFmt numFmtId="165" formatCode="0;0;;@"/>
      <protection locked="0" hidden="0"/>
    </dxf>
    <dxf>
      <font>
        <strike val="0"/>
        <outline val="0"/>
        <shadow val="0"/>
        <u val="none"/>
        <vertAlign val="baseline"/>
        <sz val="11"/>
        <name val="Montserrat"/>
        <scheme val="none"/>
      </font>
      <numFmt numFmtId="165" formatCode="0;0;;@"/>
      <protection locked="0" hidden="0"/>
    </dxf>
    <dxf>
      <font>
        <strike val="0"/>
        <outline val="0"/>
        <shadow val="0"/>
        <u val="none"/>
        <vertAlign val="baseline"/>
        <sz val="11"/>
        <name val="Montserrat"/>
        <scheme val="none"/>
      </font>
      <numFmt numFmtId="165" formatCode="0;0;;@"/>
    </dxf>
    <dxf>
      <font>
        <b/>
        <i val="0"/>
        <strike val="0"/>
        <condense val="0"/>
        <extend val="0"/>
        <outline val="0"/>
        <shadow val="0"/>
        <u val="none"/>
        <vertAlign val="baseline"/>
        <sz val="11"/>
        <color theme="1"/>
        <name val="Montserrat"/>
        <scheme val="none"/>
      </font>
      <fill>
        <patternFill patternType="solid">
          <fgColor indexed="64"/>
          <bgColor theme="8"/>
        </patternFill>
      </fill>
      <alignment horizontal="left" vertical="top" textRotation="0" wrapText="1" indent="0" justifyLastLine="0" shrinkToFit="0" readingOrder="0"/>
      <border diagonalUp="0" diagonalDown="0" outline="0">
        <left style="thin">
          <color indexed="64"/>
        </left>
        <right style="thin">
          <color indexed="64"/>
        </right>
        <top/>
        <bottom/>
      </border>
    </dxf>
  </dxfs>
  <tableStyles count="0" defaultTableStyle="TableStyleMedium2" defaultPivotStyle="PivotStyleLight16"/>
  <colors>
    <mruColors>
      <color rgb="FFF3A36D"/>
      <color rgb="FFD16BF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1.xml"/></Relationships>
</file>

<file path=xl/drawings/drawing1.xml><?xml version="1.0" encoding="utf-8"?>
<xdr:wsDr xmlns:xdr="http://schemas.openxmlformats.org/drawingml/2006/spreadsheetDrawing" xmlns:a="http://schemas.openxmlformats.org/drawingml/2006/main">
  <xdr:twoCellAnchor>
    <xdr:from>
      <xdr:col>16</xdr:col>
      <xdr:colOff>0</xdr:colOff>
      <xdr:row>2</xdr:row>
      <xdr:rowOff>0</xdr:rowOff>
    </xdr:from>
    <xdr:to>
      <xdr:col>28</xdr:col>
      <xdr:colOff>0</xdr:colOff>
      <xdr:row>56</xdr:row>
      <xdr:rowOff>0</xdr:rowOff>
    </xdr:to>
    <xdr:sp macro="" textlink="">
      <xdr:nvSpPr>
        <xdr:cNvPr id="62" name="TextBox 2">
          <a:extLst>
            <a:ext uri="{FF2B5EF4-FFF2-40B4-BE49-F238E27FC236}">
              <a16:creationId xmlns:a16="http://schemas.microsoft.com/office/drawing/2014/main" id="{00000000-0008-0000-1300-000006000000}"/>
            </a:ext>
          </a:extLst>
        </xdr:cNvPr>
        <xdr:cNvSpPr txBox="1"/>
      </xdr:nvSpPr>
      <xdr:spPr>
        <a:xfrm>
          <a:off x="21621750" y="428625"/>
          <a:ext cx="7572375" cy="11775281"/>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i="0">
              <a:solidFill>
                <a:schemeClr val="dk1"/>
              </a:solidFill>
              <a:effectLst/>
              <a:latin typeface="Montserrat" panose="00000500000000000000" pitchFamily="2" charset="0"/>
              <a:ea typeface="+mn-ea"/>
              <a:cs typeface="+mn-cs"/>
            </a:rPr>
            <a:t>USER GUIDANCE</a:t>
          </a:r>
          <a:endParaRPr lang="en-N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0">
              <a:solidFill>
                <a:schemeClr val="dk1"/>
              </a:solidFill>
              <a:effectLst/>
              <a:latin typeface="Montserrat" panose="00000500000000000000" pitchFamily="2" charset="0"/>
              <a:ea typeface="+mn-ea"/>
              <a:cs typeface="+mn-cs"/>
            </a:rPr>
            <a:t>Report in table 1 the</a:t>
          </a:r>
          <a:r>
            <a:rPr lang="en-US" sz="1100" b="0" i="0" baseline="0">
              <a:solidFill>
                <a:schemeClr val="dk1"/>
              </a:solidFill>
              <a:effectLst/>
              <a:latin typeface="Montserrat" panose="00000500000000000000" pitchFamily="2" charset="0"/>
              <a:ea typeface="+mn-ea"/>
              <a:cs typeface="+mn-cs"/>
            </a:rPr>
            <a:t> </a:t>
          </a:r>
          <a:r>
            <a:rPr lang="en-US" sz="1100" b="0" i="0">
              <a:solidFill>
                <a:schemeClr val="dk1"/>
              </a:solidFill>
              <a:effectLst/>
              <a:latin typeface="Montserrat" panose="00000500000000000000" pitchFamily="2" charset="0"/>
              <a:ea typeface="+mn-ea"/>
              <a:cs typeface="+mn-cs"/>
            </a:rPr>
            <a:t>site and production details for the ASC </a:t>
          </a:r>
          <a:r>
            <a:rPr lang="en-US" sz="1100" b="0" i="1">
              <a:solidFill>
                <a:schemeClr val="dk1"/>
              </a:solidFill>
              <a:effectLst/>
              <a:latin typeface="Montserrat" panose="00000500000000000000" pitchFamily="2" charset="0"/>
              <a:ea typeface="+mn-ea"/>
              <a:cs typeface="+mn-cs"/>
            </a:rPr>
            <a:t>certified</a:t>
          </a:r>
          <a:r>
            <a:rPr lang="en-US" sz="1100" b="0" i="0">
              <a:solidFill>
                <a:schemeClr val="dk1"/>
              </a:solidFill>
              <a:effectLst/>
              <a:latin typeface="Montserrat" panose="00000500000000000000" pitchFamily="2" charset="0"/>
              <a:ea typeface="+mn-ea"/>
              <a:cs typeface="+mn-cs"/>
            </a:rPr>
            <a:t> or </a:t>
          </a:r>
          <a:r>
            <a:rPr lang="en-US" sz="1100" b="0" i="1">
              <a:solidFill>
                <a:schemeClr val="dk1"/>
              </a:solidFill>
              <a:effectLst/>
              <a:latin typeface="Montserrat" panose="00000500000000000000" pitchFamily="2" charset="0"/>
              <a:ea typeface="+mn-ea"/>
              <a:cs typeface="+mn-cs"/>
            </a:rPr>
            <a:t>suspended</a:t>
          </a:r>
          <a:r>
            <a:rPr lang="en-US" sz="1100" b="0" i="0">
              <a:solidFill>
                <a:schemeClr val="dk1"/>
              </a:solidFill>
              <a:effectLst/>
              <a:latin typeface="Montserrat" panose="00000500000000000000" pitchFamily="2" charset="0"/>
              <a:ea typeface="+mn-ea"/>
              <a:cs typeface="+mn-cs"/>
            </a:rPr>
            <a:t> site (use one template</a:t>
          </a:r>
          <a:r>
            <a:rPr lang="en-US" sz="1100" b="0" i="0" baseline="0">
              <a:solidFill>
                <a:schemeClr val="dk1"/>
              </a:solidFill>
              <a:effectLst/>
              <a:latin typeface="Montserrat" panose="00000500000000000000" pitchFamily="2" charset="0"/>
              <a:ea typeface="+mn-ea"/>
              <a:cs typeface="+mn-cs"/>
            </a:rPr>
            <a:t> per site)</a:t>
          </a:r>
          <a:r>
            <a:rPr lang="en-US" sz="1100" b="0" i="0">
              <a:solidFill>
                <a:schemeClr val="dk1"/>
              </a:solidFill>
              <a:effectLst/>
              <a:latin typeface="Montserrat" panose="00000500000000000000" pitchFamily="2" charset="0"/>
              <a:ea typeface="+mn-ea"/>
              <a:cs typeface="+mn-cs"/>
            </a:rPr>
            <a:t>. Use a new row for each </a:t>
          </a:r>
          <a:r>
            <a:rPr lang="en-US" sz="1100" b="0" i="1">
              <a:solidFill>
                <a:schemeClr val="dk1"/>
              </a:solidFill>
              <a:effectLst/>
              <a:latin typeface="Montserrat" panose="00000500000000000000" pitchFamily="2" charset="0"/>
              <a:ea typeface="+mn-ea"/>
              <a:cs typeface="+mn-cs"/>
            </a:rPr>
            <a:t>ASC certified </a:t>
          </a:r>
          <a:r>
            <a:rPr lang="en-US" sz="1100" b="0" i="0">
              <a:solidFill>
                <a:schemeClr val="dk1"/>
              </a:solidFill>
              <a:effectLst/>
              <a:latin typeface="Montserrat" panose="00000500000000000000" pitchFamily="2" charset="0"/>
              <a:ea typeface="+mn-ea"/>
              <a:cs typeface="+mn-cs"/>
            </a:rPr>
            <a:t>species produced at the site by selecting the site name and filling all the species specific production cycle details.</a:t>
          </a:r>
          <a:endParaRPr lang="en-NL">
            <a:effectLst/>
            <a:latin typeface="Montserrat" panose="00000500000000000000" pitchFamily="2" charset="0"/>
          </a:endParaRPr>
        </a:p>
        <a:p>
          <a:endParaRPr lang="en-US" sz="1100" b="0" i="0">
            <a:solidFill>
              <a:schemeClr val="dk1"/>
            </a:solidFill>
            <a:effectLst/>
            <a:latin typeface="Montserrat" panose="00000500000000000000" pitchFamily="2" charset="0"/>
            <a:ea typeface="+mn-ea"/>
            <a:cs typeface="+mn-cs"/>
          </a:endParaRPr>
        </a:p>
        <a:p>
          <a:r>
            <a:rPr lang="en-US" sz="1100" b="0" i="0" baseline="0">
              <a:solidFill>
                <a:schemeClr val="dk1"/>
              </a:solidFill>
              <a:effectLst/>
              <a:latin typeface="Montserrat" panose="00000500000000000000" pitchFamily="2" charset="0"/>
              <a:ea typeface="+mn-ea"/>
              <a:cs typeface="+mn-cs"/>
            </a:rPr>
            <a:t>Specifying production details for each production cycle separately is optional and will not influence metric performance levels that are calculated as production is aggregated per species per farm site.</a:t>
          </a:r>
          <a:endParaRPr lang="en-NL">
            <a:effectLst/>
            <a:latin typeface="Montserrat" panose="00000500000000000000" pitchFamily="2" charset="0"/>
          </a:endParaRPr>
        </a:p>
        <a:p>
          <a:endParaRPr lang="en-NL">
            <a:effectLst/>
            <a:latin typeface="Montserrat" panose="00000500000000000000" pitchFamily="2" charset="0"/>
          </a:endParaRPr>
        </a:p>
        <a:p>
          <a:r>
            <a:rPr lang="en-US" sz="1100" b="1" i="0" u="sng">
              <a:solidFill>
                <a:schemeClr val="dk1"/>
              </a:solidFill>
              <a:effectLst/>
              <a:latin typeface="Montserrat" panose="00000500000000000000" pitchFamily="2" charset="0"/>
              <a:ea typeface="+mn-ea"/>
              <a:cs typeface="+mn-cs"/>
            </a:rPr>
            <a:t>TABLE 1. Site and</a:t>
          </a:r>
          <a:r>
            <a:rPr lang="en-US" sz="1100" b="1" i="0" u="sng" baseline="0">
              <a:solidFill>
                <a:schemeClr val="dk1"/>
              </a:solidFill>
              <a:effectLst/>
              <a:latin typeface="Montserrat" panose="00000500000000000000" pitchFamily="2" charset="0"/>
              <a:ea typeface="+mn-ea"/>
              <a:cs typeface="+mn-cs"/>
            </a:rPr>
            <a:t> production details</a:t>
          </a:r>
          <a:endParaRPr lang="en-NL">
            <a:effectLst/>
            <a:latin typeface="Montserrat" panose="00000500000000000000" pitchFamily="2" charset="0"/>
          </a:endParaRPr>
        </a:p>
        <a:p>
          <a:r>
            <a:rPr lang="en-US" sz="1100" b="1">
              <a:solidFill>
                <a:schemeClr val="dk1"/>
              </a:solidFill>
              <a:effectLst/>
              <a:latin typeface="Montserrat" panose="00000500000000000000" pitchFamily="2" charset="0"/>
              <a:ea typeface="+mn-ea"/>
              <a:cs typeface="+mn-cs"/>
            </a:rPr>
            <a:t>Site name </a:t>
          </a:r>
          <a:r>
            <a:rPr lang="en-US" sz="1100">
              <a:solidFill>
                <a:schemeClr val="dk1"/>
              </a:solidFill>
              <a:effectLst/>
              <a:latin typeface="Montserrat" panose="00000500000000000000" pitchFamily="2" charset="0"/>
              <a:ea typeface="+mn-ea"/>
              <a:cs typeface="+mn-cs"/>
            </a:rPr>
            <a:t>(Mandatory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Indicate the site name, as listed in MyASC,</a:t>
          </a:r>
          <a:r>
            <a:rPr lang="en-US" sz="1100" baseline="0">
              <a:solidFill>
                <a:schemeClr val="dk1"/>
              </a:solidFill>
              <a:effectLst/>
              <a:latin typeface="Montserrat" panose="00000500000000000000" pitchFamily="2" charset="0"/>
              <a:ea typeface="+mn-ea"/>
              <a:cs typeface="+mn-cs"/>
            </a:rPr>
            <a:t> for which the data is reported for. </a:t>
          </a:r>
          <a:endParaRPr lang="en-NL">
            <a:effectLst/>
            <a:latin typeface="Montserrat" panose="00000500000000000000" pitchFamily="2" charset="0"/>
          </a:endParaRPr>
        </a:p>
        <a:p>
          <a:endParaRPr lang="en-NL">
            <a:effectLst/>
            <a:latin typeface="Montserrat" panose="00000500000000000000" pitchFamily="2" charset="0"/>
          </a:endParaRPr>
        </a:p>
        <a:p>
          <a:r>
            <a:rPr lang="en-US" sz="1100" b="1">
              <a:solidFill>
                <a:schemeClr val="dk1"/>
              </a:solidFill>
              <a:effectLst/>
              <a:latin typeface="Montserrat" panose="00000500000000000000" pitchFamily="2" charset="0"/>
              <a:ea typeface="+mn-ea"/>
              <a:cs typeface="+mn-cs"/>
            </a:rPr>
            <a:t>ASC site ID </a:t>
          </a:r>
          <a:r>
            <a:rPr lang="en-US" sz="1100">
              <a:solidFill>
                <a:schemeClr val="dk1"/>
              </a:solidFill>
              <a:effectLst/>
              <a:latin typeface="Montserrat" panose="00000500000000000000" pitchFamily="2" charset="0"/>
              <a:ea typeface="+mn-ea"/>
              <a:cs typeface="+mn-cs"/>
            </a:rPr>
            <a:t>(Mandatory field)</a:t>
          </a:r>
        </a:p>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chemeClr val="dk1"/>
              </a:solidFill>
              <a:effectLst/>
              <a:latin typeface="Montserrat" panose="00000500000000000000" pitchFamily="2" charset="0"/>
              <a:ea typeface="+mn-ea"/>
              <a:cs typeface="+mn-cs"/>
            </a:rPr>
            <a:t>Indicate the ASC site ID, as listed in MyASC,</a:t>
          </a:r>
          <a:r>
            <a:rPr lang="en-US" sz="1100" baseline="0">
              <a:solidFill>
                <a:schemeClr val="dk1"/>
              </a:solidFill>
              <a:effectLst/>
              <a:latin typeface="Montserrat" pitchFamily="2" charset="0"/>
              <a:ea typeface="+mn-ea"/>
              <a:cs typeface="+mn-cs"/>
            </a:rPr>
            <a:t> for which the data is reported for. </a:t>
          </a:r>
          <a:r>
            <a:rPr lang="en-US" sz="1100">
              <a:solidFill>
                <a:schemeClr val="dk1"/>
              </a:solidFill>
              <a:effectLst/>
              <a:latin typeface="Montserrat" panose="00000500000000000000" pitchFamily="2" charset="0"/>
              <a:ea typeface="+mn-ea"/>
              <a:cs typeface="+mn-cs"/>
            </a:rPr>
            <a:t>The ASC site ID consists of one character (S), followed by seven numbers, for example S0001234.</a:t>
          </a:r>
          <a:endParaRPr lang="en-NL">
            <a:effectLst/>
            <a:latin typeface="Montserrat" panose="00000500000000000000" pitchFamily="2" charset="0"/>
          </a:endParaRPr>
        </a:p>
        <a:p>
          <a:endParaRPr lang="en-US" sz="1100" b="1">
            <a:solidFill>
              <a:schemeClr val="dk1"/>
            </a:solidFill>
            <a:effectLst/>
            <a:latin typeface="Montserrat" panose="00000500000000000000" pitchFamily="2" charset="0"/>
            <a:ea typeface="+mn-ea"/>
            <a:cs typeface="+mn-cs"/>
          </a:endParaRPr>
        </a:p>
        <a:p>
          <a:r>
            <a:rPr lang="en-US" sz="1100" b="1">
              <a:solidFill>
                <a:schemeClr val="dk1"/>
              </a:solidFill>
              <a:effectLst/>
              <a:latin typeface="Montserrat" panose="00000500000000000000" pitchFamily="2" charset="0"/>
              <a:ea typeface="+mn-ea"/>
              <a:cs typeface="+mn-cs"/>
            </a:rPr>
            <a:t>Species in production (Latin name)</a:t>
          </a:r>
          <a:r>
            <a:rPr lang="en-US" sz="1100">
              <a:solidFill>
                <a:schemeClr val="dk1"/>
              </a:solidFill>
              <a:effectLst/>
              <a:latin typeface="Montserrat" panose="00000500000000000000" pitchFamily="2" charset="0"/>
              <a:ea typeface="+mn-ea"/>
              <a:cs typeface="+mn-cs"/>
            </a:rPr>
            <a:t> (Mandatory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Indicate the Latin name (as listed for the site of concern in MyASC) for each species in production</a:t>
          </a:r>
          <a:r>
            <a:rPr lang="en-US" sz="1100" baseline="0">
              <a:solidFill>
                <a:schemeClr val="dk1"/>
              </a:solidFill>
              <a:effectLst/>
              <a:latin typeface="Montserrat" panose="00000500000000000000" pitchFamily="2" charset="0"/>
              <a:ea typeface="+mn-ea"/>
              <a:cs typeface="+mn-cs"/>
            </a:rPr>
            <a:t> using </a:t>
          </a:r>
          <a:r>
            <a:rPr lang="en-US" sz="1100" i="0">
              <a:solidFill>
                <a:schemeClr val="dk1"/>
              </a:solidFill>
              <a:effectLst/>
              <a:latin typeface="Montserrat" panose="00000500000000000000" pitchFamily="2" charset="0"/>
              <a:ea typeface="+mn-ea"/>
              <a:cs typeface="+mn-cs"/>
            </a:rPr>
            <a:t>the dropdown menu</a:t>
          </a:r>
          <a:r>
            <a:rPr lang="en-US" sz="1100" i="1">
              <a:solidFill>
                <a:schemeClr val="dk1"/>
              </a:solidFill>
              <a:effectLst/>
              <a:latin typeface="Montserrat" panose="00000500000000000000" pitchFamily="2" charset="0"/>
              <a:ea typeface="+mn-ea"/>
              <a:cs typeface="+mn-cs"/>
            </a:rPr>
            <a:t>. </a:t>
          </a:r>
          <a:r>
            <a:rPr lang="en-US" sz="1100">
              <a:solidFill>
                <a:schemeClr val="dk1"/>
              </a:solidFill>
              <a:effectLst/>
              <a:latin typeface="Montserrat" panose="00000500000000000000" pitchFamily="2" charset="0"/>
              <a:ea typeface="+mn-ea"/>
              <a:cs typeface="+mn-cs"/>
            </a:rPr>
            <a:t>Use a new row for any additional </a:t>
          </a:r>
          <a:r>
            <a:rPr lang="en-US" sz="1100" i="1">
              <a:solidFill>
                <a:schemeClr val="dk1"/>
              </a:solidFill>
              <a:effectLst/>
              <a:latin typeface="Montserrat" panose="00000500000000000000" pitchFamily="2" charset="0"/>
              <a:ea typeface="+mn-ea"/>
              <a:cs typeface="+mn-cs"/>
            </a:rPr>
            <a:t>ASC certified </a:t>
          </a:r>
          <a:r>
            <a:rPr lang="en-US" sz="1100">
              <a:solidFill>
                <a:schemeClr val="dk1"/>
              </a:solidFill>
              <a:effectLst/>
              <a:latin typeface="Montserrat" panose="00000500000000000000" pitchFamily="2" charset="0"/>
              <a:ea typeface="+mn-ea"/>
              <a:cs typeface="+mn-cs"/>
            </a:rPr>
            <a:t>species produced at the site.</a:t>
          </a:r>
          <a:endParaRPr lang="en-NL">
            <a:effectLst/>
            <a:latin typeface="Montserrat" panose="00000500000000000000" pitchFamily="2" charset="0"/>
          </a:endParaRPr>
        </a:p>
        <a:p>
          <a:endParaRPr lang="en-US" sz="1100" b="1">
            <a:solidFill>
              <a:schemeClr val="dk1"/>
            </a:solidFill>
            <a:effectLst/>
            <a:latin typeface="Montserrat" panose="00000500000000000000" pitchFamily="2" charset="0"/>
            <a:ea typeface="+mn-ea"/>
            <a:cs typeface="+mn-cs"/>
          </a:endParaRPr>
        </a:p>
        <a:p>
          <a:r>
            <a:rPr lang="en-US" sz="1100" b="1">
              <a:solidFill>
                <a:schemeClr val="dk1"/>
              </a:solidFill>
              <a:effectLst/>
              <a:latin typeface="Montserrat" panose="00000500000000000000" pitchFamily="2" charset="0"/>
              <a:ea typeface="+mn-ea"/>
              <a:cs typeface="+mn-cs"/>
            </a:rPr>
            <a:t>Cycle ID </a:t>
          </a:r>
          <a:r>
            <a:rPr lang="en-US" sz="1100">
              <a:solidFill>
                <a:schemeClr val="dk1"/>
              </a:solidFill>
              <a:effectLst/>
              <a:latin typeface="Montserrat" panose="00000500000000000000" pitchFamily="2" charset="0"/>
              <a:ea typeface="+mn-ea"/>
              <a:cs typeface="+mn-cs"/>
            </a:rPr>
            <a:t>(Voluntary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Provide a cycle ID for each ASC certified production cycle. This is user generated and can be any value, as long as it is unique to each production cycle listed here. </a:t>
          </a:r>
        </a:p>
        <a:p>
          <a:endParaRPr lang="en-US" sz="1100">
            <a:solidFill>
              <a:schemeClr val="dk1"/>
            </a:solidFill>
            <a:effectLst/>
            <a:latin typeface="Montserrat" panose="00000500000000000000" pitchFamily="2" charset="0"/>
            <a:ea typeface="+mn-ea"/>
            <a:cs typeface="+mn-cs"/>
          </a:endParaRPr>
        </a:p>
        <a:p>
          <a:r>
            <a:rPr lang="en-US" sz="1100" b="1">
              <a:solidFill>
                <a:schemeClr val="dk1"/>
              </a:solidFill>
              <a:effectLst/>
              <a:latin typeface="Montserrat" panose="00000500000000000000" pitchFamily="2" charset="0"/>
              <a:ea typeface="+mn-ea"/>
              <a:cs typeface="+mn-cs"/>
            </a:rPr>
            <a:t>Production cycle start (dd-mm-yyyy) </a:t>
          </a:r>
          <a:r>
            <a:rPr lang="en-US" sz="1100">
              <a:solidFill>
                <a:schemeClr val="dk1"/>
              </a:solidFill>
              <a:effectLst/>
              <a:latin typeface="Montserrat" panose="00000500000000000000" pitchFamily="2" charset="0"/>
              <a:ea typeface="+mn-ea"/>
              <a:cs typeface="+mn-cs"/>
            </a:rPr>
            <a:t>(Mandatory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Indicate the start date for which data is reported for.</a:t>
          </a:r>
          <a:r>
            <a:rPr lang="en-US" sz="1100" baseline="0">
              <a:solidFill>
                <a:schemeClr val="dk1"/>
              </a:solidFill>
              <a:effectLst/>
              <a:latin typeface="Montserrat" panose="00000500000000000000" pitchFamily="2" charset="0"/>
              <a:ea typeface="+mn-ea"/>
              <a:cs typeface="+mn-cs"/>
            </a:rPr>
            <a:t> For example, 07-04-2024.</a:t>
          </a:r>
          <a:endParaRPr lang="en-US" sz="1100">
            <a:solidFill>
              <a:schemeClr val="dk1"/>
            </a:solidFill>
            <a:effectLst/>
            <a:latin typeface="Montserrat" panose="00000500000000000000" pitchFamily="2" charset="0"/>
            <a:ea typeface="+mn-ea"/>
            <a:cs typeface="+mn-cs"/>
          </a:endParaRPr>
        </a:p>
        <a:p>
          <a:endParaRPr lang="en-US" sz="1100" b="1">
            <a:solidFill>
              <a:schemeClr val="dk1"/>
            </a:solidFill>
            <a:effectLst/>
            <a:latin typeface="Montserrat" panose="00000500000000000000" pitchFamily="2" charset="0"/>
            <a:ea typeface="+mn-ea"/>
            <a:cs typeface="+mn-cs"/>
          </a:endParaRPr>
        </a:p>
        <a:p>
          <a:r>
            <a:rPr lang="en-US" sz="1100" b="1">
              <a:solidFill>
                <a:schemeClr val="dk1"/>
              </a:solidFill>
              <a:effectLst/>
              <a:latin typeface="Montserrat" panose="00000500000000000000" pitchFamily="2" charset="0"/>
              <a:ea typeface="+mn-ea"/>
              <a:cs typeface="+mn-cs"/>
            </a:rPr>
            <a:t>Production cycle end (dd-mm-yyyy) </a:t>
          </a:r>
          <a:r>
            <a:rPr lang="en-US" sz="1100">
              <a:solidFill>
                <a:schemeClr val="dk1"/>
              </a:solidFill>
              <a:effectLst/>
              <a:latin typeface="Montserrat" panose="00000500000000000000" pitchFamily="2" charset="0"/>
              <a:ea typeface="+mn-ea"/>
              <a:cs typeface="+mn-cs"/>
            </a:rPr>
            <a:t>(Mandatory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Indicate the end date for which data is reported for.</a:t>
          </a:r>
          <a:r>
            <a:rPr lang="en-US" sz="1100" baseline="0">
              <a:solidFill>
                <a:schemeClr val="dk1"/>
              </a:solidFill>
              <a:effectLst/>
              <a:latin typeface="Montserrat" panose="00000500000000000000" pitchFamily="2" charset="0"/>
              <a:ea typeface="+mn-ea"/>
              <a:cs typeface="+mn-cs"/>
            </a:rPr>
            <a:t> For example, 30-07-2025.</a:t>
          </a:r>
        </a:p>
        <a:p>
          <a:endParaRPr lang="en-US" sz="1100">
            <a:solidFill>
              <a:schemeClr val="dk1"/>
            </a:solidFill>
            <a:effectLst/>
            <a:latin typeface="Montserrat" panose="00000500000000000000" pitchFamily="2" charset="0"/>
            <a:ea typeface="+mn-ea"/>
            <a:cs typeface="+mn-cs"/>
          </a:endParaRPr>
        </a:p>
        <a:p>
          <a:r>
            <a:rPr lang="en-GB" sz="1100" b="1">
              <a:solidFill>
                <a:schemeClr val="dk1"/>
              </a:solidFill>
              <a:effectLst/>
              <a:latin typeface="Montserrat" panose="00000500000000000000" pitchFamily="2" charset="0"/>
              <a:ea typeface="+mn-ea"/>
              <a:cs typeface="+mn-cs"/>
            </a:rPr>
            <a:t>ASC certified stocked volume (tonnes)</a:t>
          </a:r>
          <a:r>
            <a:rPr lang="en-GB" sz="1100">
              <a:solidFill>
                <a:schemeClr val="dk1"/>
              </a:solidFill>
              <a:effectLst/>
              <a:latin typeface="Montserrat" panose="00000500000000000000" pitchFamily="2" charset="0"/>
              <a:ea typeface="+mn-ea"/>
              <a:cs typeface="+mn-cs"/>
            </a:rPr>
            <a:t> </a:t>
          </a:r>
          <a:r>
            <a:rPr lang="en-US" sz="1100">
              <a:solidFill>
                <a:schemeClr val="dk1"/>
              </a:solidFill>
              <a:effectLst/>
              <a:latin typeface="Montserrat" panose="00000500000000000000" pitchFamily="2" charset="0"/>
              <a:ea typeface="+mn-ea"/>
              <a:cs typeface="+mn-cs"/>
            </a:rPr>
            <a:t>(Mandatory field)</a:t>
          </a:r>
          <a:endParaRPr lang="en-NL">
            <a:effectLst/>
            <a:latin typeface="Montserrat" panose="00000500000000000000" pitchFamily="2" charset="0"/>
          </a:endParaRPr>
        </a:p>
        <a:p>
          <a:r>
            <a:rPr lang="en-GB" sz="1100">
              <a:solidFill>
                <a:schemeClr val="dk1"/>
              </a:solidFill>
              <a:effectLst/>
              <a:latin typeface="Montserrat" panose="00000500000000000000" pitchFamily="2" charset="0"/>
              <a:ea typeface="+mn-ea"/>
              <a:cs typeface="+mn-cs"/>
            </a:rPr>
            <a:t>Indicate the stocked volume of animals (live weight in metric tonnes, 1 tonne = 1000 kg) during the year for all </a:t>
          </a:r>
          <a:r>
            <a:rPr lang="en-GB" sz="1100" i="1">
              <a:solidFill>
                <a:schemeClr val="dk1"/>
              </a:solidFill>
              <a:effectLst/>
              <a:latin typeface="Montserrat" panose="00000500000000000000" pitchFamily="2" charset="0"/>
              <a:ea typeface="+mn-ea"/>
              <a:cs typeface="+mn-cs"/>
            </a:rPr>
            <a:t>ASC certified </a:t>
          </a:r>
          <a:r>
            <a:rPr lang="en-GB" sz="1100">
              <a:solidFill>
                <a:schemeClr val="dk1"/>
              </a:solidFill>
              <a:effectLst/>
              <a:latin typeface="Montserrat" panose="00000500000000000000" pitchFamily="2" charset="0"/>
              <a:ea typeface="+mn-ea"/>
              <a:cs typeface="+mn-cs"/>
            </a:rPr>
            <a:t>production per species. This is the volume of animals that have reached the grow out phase and are eligible for certification,</a:t>
          </a:r>
          <a:r>
            <a:rPr lang="en-GB" sz="1100" baseline="0">
              <a:solidFill>
                <a:schemeClr val="dk1"/>
              </a:solidFill>
              <a:effectLst/>
              <a:latin typeface="Montserrat" panose="00000500000000000000" pitchFamily="2" charset="0"/>
              <a:ea typeface="+mn-ea"/>
              <a:cs typeface="+mn-cs"/>
            </a:rPr>
            <a:t> and should al</a:t>
          </a:r>
          <a:r>
            <a:rPr lang="en-GB" sz="1100">
              <a:solidFill>
                <a:schemeClr val="dk1"/>
              </a:solidFill>
              <a:effectLst/>
              <a:latin typeface="Montserrat" panose="00000500000000000000" pitchFamily="2" charset="0"/>
              <a:ea typeface="+mn-ea"/>
              <a:cs typeface="+mn-cs"/>
            </a:rPr>
            <a:t>so include the volume of</a:t>
          </a:r>
          <a:r>
            <a:rPr lang="en-GB" sz="1100" baseline="0">
              <a:solidFill>
                <a:schemeClr val="dk1"/>
              </a:solidFill>
              <a:effectLst/>
              <a:latin typeface="Montserrat" panose="00000500000000000000" pitchFamily="2" charset="0"/>
              <a:ea typeface="+mn-ea"/>
              <a:cs typeface="+mn-cs"/>
            </a:rPr>
            <a:t> animals transfered to this site during the year.</a:t>
          </a:r>
          <a:endParaRPr lang="en-NL">
            <a:effectLst/>
            <a:latin typeface="Montserrat" panose="00000500000000000000" pitchFamily="2" charset="0"/>
          </a:endParaRPr>
        </a:p>
        <a:p>
          <a:endParaRPr lang="en-GB" sz="1100" b="1">
            <a:solidFill>
              <a:schemeClr val="dk1"/>
            </a:solidFill>
            <a:effectLst/>
            <a:latin typeface="Montserrat" panose="00000500000000000000" pitchFamily="2" charset="0"/>
            <a:ea typeface="+mn-ea"/>
            <a:cs typeface="+mn-cs"/>
          </a:endParaRPr>
        </a:p>
        <a:p>
          <a:r>
            <a:rPr lang="en-GB" sz="1100" b="1">
              <a:solidFill>
                <a:schemeClr val="dk1"/>
              </a:solidFill>
              <a:effectLst/>
              <a:latin typeface="Montserrat" panose="00000500000000000000" pitchFamily="2" charset="0"/>
              <a:ea typeface="+mn-ea"/>
              <a:cs typeface="+mn-cs"/>
            </a:rPr>
            <a:t>ASC certified harvested volume (tonnes)</a:t>
          </a:r>
          <a:r>
            <a:rPr lang="en-GB" sz="1100">
              <a:solidFill>
                <a:schemeClr val="dk1"/>
              </a:solidFill>
              <a:effectLst/>
              <a:latin typeface="Montserrat" panose="00000500000000000000" pitchFamily="2" charset="0"/>
              <a:ea typeface="+mn-ea"/>
              <a:cs typeface="+mn-cs"/>
            </a:rPr>
            <a:t> </a:t>
          </a:r>
          <a:r>
            <a:rPr lang="en-US" sz="1100">
              <a:solidFill>
                <a:schemeClr val="dk1"/>
              </a:solidFill>
              <a:effectLst/>
              <a:latin typeface="Montserrat" panose="00000500000000000000" pitchFamily="2" charset="0"/>
              <a:ea typeface="+mn-ea"/>
              <a:cs typeface="+mn-cs"/>
            </a:rPr>
            <a:t>(Mandatory field)</a:t>
          </a:r>
          <a:endParaRPr lang="en-NL">
            <a:effectLst/>
            <a:latin typeface="Montserrat" panose="00000500000000000000" pitchFamily="2" charset="0"/>
          </a:endParaRPr>
        </a:p>
        <a:p>
          <a:r>
            <a:rPr lang="en-GB" sz="1100">
              <a:solidFill>
                <a:schemeClr val="dk1"/>
              </a:solidFill>
              <a:effectLst/>
              <a:latin typeface="Montserrat" panose="00000500000000000000" pitchFamily="2" charset="0"/>
              <a:ea typeface="+mn-ea"/>
              <a:cs typeface="+mn-cs"/>
            </a:rPr>
            <a:t>Indicate the harvested volume of animals (live weight in metric tonnes, 1 tonne = 1000 kg) during the year for all </a:t>
          </a:r>
          <a:r>
            <a:rPr lang="en-GB" sz="1100" i="1">
              <a:solidFill>
                <a:schemeClr val="dk1"/>
              </a:solidFill>
              <a:effectLst/>
              <a:latin typeface="Montserrat" panose="00000500000000000000" pitchFamily="2" charset="0"/>
              <a:ea typeface="+mn-ea"/>
              <a:cs typeface="+mn-cs"/>
            </a:rPr>
            <a:t>ASC certified </a:t>
          </a:r>
          <a:r>
            <a:rPr lang="en-GB" sz="1100">
              <a:solidFill>
                <a:schemeClr val="dk1"/>
              </a:solidFill>
              <a:effectLst/>
              <a:latin typeface="Montserrat" panose="00000500000000000000" pitchFamily="2" charset="0"/>
              <a:ea typeface="+mn-ea"/>
              <a:cs typeface="+mn-cs"/>
            </a:rPr>
            <a:t>production per species. Stocked animals that are transferred from this site shall be included in the harvested volume,</a:t>
          </a:r>
          <a:r>
            <a:rPr lang="en-GB" sz="1100" baseline="0">
              <a:solidFill>
                <a:schemeClr val="dk1"/>
              </a:solidFill>
              <a:effectLst/>
              <a:latin typeface="Montserrat" panose="00000500000000000000" pitchFamily="2" charset="0"/>
              <a:ea typeface="+mn-ea"/>
              <a:cs typeface="+mn-cs"/>
            </a:rPr>
            <a:t> however the volume of mortalities shall not be included in the total. </a:t>
          </a:r>
          <a:endParaRPr lang="en-GB" sz="1100">
            <a:solidFill>
              <a:schemeClr val="dk1"/>
            </a:solidFill>
            <a:effectLst/>
            <a:latin typeface="Montserrat" panose="00000500000000000000" pitchFamily="2" charset="0"/>
            <a:ea typeface="+mn-ea"/>
            <a:cs typeface="+mn-cs"/>
          </a:endParaRPr>
        </a:p>
        <a:p>
          <a:endParaRPr lang="en-GB" sz="1100">
            <a:solidFill>
              <a:schemeClr val="dk1"/>
            </a:solidFill>
            <a:effectLst/>
            <a:latin typeface="Montserrat" panose="00000500000000000000" pitchFamily="2" charset="0"/>
            <a:ea typeface="+mn-ea"/>
            <a:cs typeface="+mn-cs"/>
          </a:endParaRPr>
        </a:p>
        <a:p>
          <a:r>
            <a:rPr lang="en-US" sz="1100" b="1">
              <a:solidFill>
                <a:schemeClr val="dk1"/>
              </a:solidFill>
              <a:effectLst/>
              <a:latin typeface="Montserrat" panose="00000500000000000000" pitchFamily="2" charset="0"/>
              <a:ea typeface="+mn-ea"/>
              <a:cs typeface="+mn-cs"/>
            </a:rPr>
            <a:t>Stocking count (# of animals)</a:t>
          </a:r>
          <a:r>
            <a:rPr lang="en-US" sz="1100">
              <a:solidFill>
                <a:schemeClr val="dk1"/>
              </a:solidFill>
              <a:effectLst/>
              <a:latin typeface="Montserrat" panose="00000500000000000000" pitchFamily="2" charset="0"/>
              <a:ea typeface="+mn-ea"/>
              <a:cs typeface="+mn-cs"/>
            </a:rPr>
            <a:t> (Mandatory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Indicate </a:t>
          </a:r>
          <a:r>
            <a:rPr lang="en-GB" sz="1100">
              <a:solidFill>
                <a:schemeClr val="dk1"/>
              </a:solidFill>
              <a:effectLst/>
              <a:latin typeface="Montserrat" panose="00000500000000000000" pitchFamily="2" charset="0"/>
              <a:ea typeface="+mn-ea"/>
              <a:cs typeface="+mn-cs"/>
            </a:rPr>
            <a:t>the stocked number of animals for all </a:t>
          </a:r>
          <a:r>
            <a:rPr lang="en-GB" sz="1100" i="1">
              <a:solidFill>
                <a:schemeClr val="dk1"/>
              </a:solidFill>
              <a:effectLst/>
              <a:latin typeface="Montserrat" panose="00000500000000000000" pitchFamily="2" charset="0"/>
              <a:ea typeface="+mn-ea"/>
              <a:cs typeface="+mn-cs"/>
            </a:rPr>
            <a:t>ASC</a:t>
          </a:r>
          <a:r>
            <a:rPr lang="en-GB" sz="1100">
              <a:solidFill>
                <a:schemeClr val="dk1"/>
              </a:solidFill>
              <a:effectLst/>
              <a:latin typeface="Montserrat" panose="00000500000000000000" pitchFamily="2" charset="0"/>
              <a:ea typeface="+mn-ea"/>
              <a:cs typeface="+mn-cs"/>
            </a:rPr>
            <a:t> </a:t>
          </a:r>
          <a:r>
            <a:rPr lang="en-GB" sz="1100" i="1">
              <a:solidFill>
                <a:schemeClr val="dk1"/>
              </a:solidFill>
              <a:effectLst/>
              <a:latin typeface="Montserrat" panose="00000500000000000000" pitchFamily="2" charset="0"/>
              <a:ea typeface="+mn-ea"/>
              <a:cs typeface="+mn-cs"/>
            </a:rPr>
            <a:t>certified</a:t>
          </a:r>
          <a:r>
            <a:rPr lang="en-GB" sz="1100">
              <a:solidFill>
                <a:schemeClr val="dk1"/>
              </a:solidFill>
              <a:effectLst/>
              <a:latin typeface="Montserrat" panose="00000500000000000000" pitchFamily="2" charset="0"/>
              <a:ea typeface="+mn-ea"/>
              <a:cs typeface="+mn-cs"/>
            </a:rPr>
            <a:t> production per species. This is the number of animals that have reached the grow out phase and are eligible for certification,</a:t>
          </a:r>
          <a:r>
            <a:rPr lang="en-GB" sz="1100" baseline="0">
              <a:solidFill>
                <a:schemeClr val="dk1"/>
              </a:solidFill>
              <a:effectLst/>
              <a:latin typeface="Montserrat" panose="00000500000000000000" pitchFamily="2" charset="0"/>
              <a:ea typeface="+mn-ea"/>
              <a:cs typeface="+mn-cs"/>
            </a:rPr>
            <a:t> </a:t>
          </a:r>
          <a:r>
            <a:rPr lang="en-GB" sz="1100">
              <a:solidFill>
                <a:schemeClr val="dk1"/>
              </a:solidFill>
              <a:effectLst/>
              <a:latin typeface="Montserrat" panose="00000500000000000000" pitchFamily="2" charset="0"/>
              <a:ea typeface="+mn-ea"/>
              <a:cs typeface="+mn-cs"/>
            </a:rPr>
            <a:t>and should also include the number of animals transfered to this site during the year.</a:t>
          </a:r>
        </a:p>
        <a:p>
          <a:endParaRPr lang="en-NL">
            <a:effectLst/>
            <a:latin typeface="Montserrat" panose="00000500000000000000" pitchFamily="2" charset="0"/>
          </a:endParaRPr>
        </a:p>
        <a:p>
          <a:r>
            <a:rPr lang="en-US" sz="1100" b="1">
              <a:solidFill>
                <a:schemeClr val="dk1"/>
              </a:solidFill>
              <a:effectLst/>
              <a:latin typeface="Montserrat" panose="00000500000000000000" pitchFamily="2" charset="0"/>
              <a:ea typeface="+mn-ea"/>
              <a:cs typeface="+mn-cs"/>
            </a:rPr>
            <a:t>Harvest count (# of animals)</a:t>
          </a:r>
          <a:r>
            <a:rPr lang="en-US" sz="1100">
              <a:solidFill>
                <a:schemeClr val="dk1"/>
              </a:solidFill>
              <a:effectLst/>
              <a:latin typeface="Montserrat" panose="00000500000000000000" pitchFamily="2" charset="0"/>
              <a:ea typeface="+mn-ea"/>
              <a:cs typeface="+mn-cs"/>
            </a:rPr>
            <a:t> (Mandatory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Indicate </a:t>
          </a:r>
          <a:r>
            <a:rPr lang="en-GB" sz="1100">
              <a:solidFill>
                <a:schemeClr val="dk1"/>
              </a:solidFill>
              <a:effectLst/>
              <a:latin typeface="Montserrat" panose="00000500000000000000" pitchFamily="2" charset="0"/>
              <a:ea typeface="+mn-ea"/>
              <a:cs typeface="+mn-cs"/>
            </a:rPr>
            <a:t>the harvested number of animals for all </a:t>
          </a:r>
          <a:r>
            <a:rPr lang="en-GB" sz="1100" i="1">
              <a:solidFill>
                <a:schemeClr val="dk1"/>
              </a:solidFill>
              <a:effectLst/>
              <a:latin typeface="Montserrat" panose="00000500000000000000" pitchFamily="2" charset="0"/>
              <a:ea typeface="+mn-ea"/>
              <a:cs typeface="+mn-cs"/>
            </a:rPr>
            <a:t>ASC</a:t>
          </a:r>
          <a:r>
            <a:rPr lang="en-GB" sz="1100">
              <a:solidFill>
                <a:schemeClr val="dk1"/>
              </a:solidFill>
              <a:effectLst/>
              <a:latin typeface="Montserrat" panose="00000500000000000000" pitchFamily="2" charset="0"/>
              <a:ea typeface="+mn-ea"/>
              <a:cs typeface="+mn-cs"/>
            </a:rPr>
            <a:t> </a:t>
          </a:r>
          <a:r>
            <a:rPr lang="en-GB" sz="1100" i="1">
              <a:solidFill>
                <a:schemeClr val="dk1"/>
              </a:solidFill>
              <a:effectLst/>
              <a:latin typeface="Montserrat" panose="00000500000000000000" pitchFamily="2" charset="0"/>
              <a:ea typeface="+mn-ea"/>
              <a:cs typeface="+mn-cs"/>
            </a:rPr>
            <a:t>certified</a:t>
          </a:r>
          <a:r>
            <a:rPr lang="en-GB" sz="1100">
              <a:solidFill>
                <a:schemeClr val="dk1"/>
              </a:solidFill>
              <a:effectLst/>
              <a:latin typeface="Montserrat" panose="00000500000000000000" pitchFamily="2" charset="0"/>
              <a:ea typeface="+mn-ea"/>
              <a:cs typeface="+mn-cs"/>
            </a:rPr>
            <a:t> production. The harvest count shall not contain the number of mortalities in the total</a:t>
          </a:r>
          <a:r>
            <a:rPr lang="en-GB" sz="1100" baseline="0">
              <a:solidFill>
                <a:schemeClr val="dk1"/>
              </a:solidFill>
              <a:effectLst/>
              <a:latin typeface="Montserrat" panose="00000500000000000000" pitchFamily="2" charset="0"/>
              <a:ea typeface="+mn-ea"/>
              <a:cs typeface="+mn-cs"/>
            </a:rPr>
            <a:t> however s</a:t>
          </a:r>
          <a:r>
            <a:rPr lang="en-GB" sz="1100">
              <a:solidFill>
                <a:schemeClr val="dk1"/>
              </a:solidFill>
              <a:effectLst/>
              <a:latin typeface="Montserrat" panose="00000500000000000000" pitchFamily="2" charset="0"/>
              <a:ea typeface="+mn-ea"/>
              <a:cs typeface="+mn-cs"/>
            </a:rPr>
            <a:t>tocked animals that are transferred from the site during production shall be included in the harvest count.</a:t>
          </a:r>
          <a:endParaRPr lang="en-NL">
            <a:effectLst/>
            <a:latin typeface="Montserrat" panose="00000500000000000000" pitchFamily="2" charset="0"/>
          </a:endParaRPr>
        </a:p>
        <a:p>
          <a:endParaRPr lang="en-GB" sz="1100">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a:latin typeface="Montserrat" panose="00000500000000000000" pitchFamily="2" charset="0"/>
            </a:rPr>
            <a:t>Non-ASC certified harvested production volume </a:t>
          </a:r>
          <a:r>
            <a:rPr lang="en-GB" sz="1100" b="1" i="0">
              <a:solidFill>
                <a:schemeClr val="dk1"/>
              </a:solidFill>
              <a:effectLst/>
              <a:latin typeface="Montserrat" panose="00000500000000000000" pitchFamily="2" charset="0"/>
              <a:ea typeface="+mn-ea"/>
              <a:cs typeface="+mn-cs"/>
            </a:rPr>
            <a:t>(tonnes) </a:t>
          </a:r>
          <a:r>
            <a:rPr lang="en-US" sz="1100">
              <a:solidFill>
                <a:schemeClr val="dk1"/>
              </a:solidFill>
              <a:effectLst/>
              <a:latin typeface="Montserrat" panose="00000500000000000000" pitchFamily="2" charset="0"/>
              <a:ea typeface="+mn-ea"/>
              <a:cs typeface="+mn-cs"/>
            </a:rPr>
            <a:t>(Mandatory field)</a:t>
          </a:r>
          <a:endParaRPr lang="en-GB" sz="1100">
            <a:solidFill>
              <a:schemeClr val="dk1"/>
            </a:solidFill>
            <a:effectLst/>
            <a:latin typeface="Montserrat" panose="00000500000000000000" pitchFamily="2" charset="0"/>
            <a:ea typeface="+mn-ea"/>
            <a:cs typeface="+mn-cs"/>
          </a:endParaRPr>
        </a:p>
        <a:p>
          <a:pPr eaLnBrk="1" fontAlgn="auto" latinLnBrk="0" hangingPunct="1"/>
          <a:r>
            <a:rPr lang="en-GB" sz="1100" b="0" i="0">
              <a:solidFill>
                <a:schemeClr val="dk1"/>
              </a:solidFill>
              <a:effectLst/>
              <a:latin typeface="Montserrat" panose="00000500000000000000" pitchFamily="2" charset="0"/>
              <a:ea typeface="+mn-ea"/>
              <a:cs typeface="+mn-cs"/>
            </a:rPr>
            <a:t>Indicate</a:t>
          </a:r>
          <a:r>
            <a:rPr lang="en-GB" sz="1100" b="0" i="0" baseline="0">
              <a:solidFill>
                <a:schemeClr val="dk1"/>
              </a:solidFill>
              <a:effectLst/>
              <a:latin typeface="Montserrat" panose="00000500000000000000" pitchFamily="2" charset="0"/>
              <a:ea typeface="+mn-ea"/>
              <a:cs typeface="+mn-cs"/>
            </a:rPr>
            <a:t> for the </a:t>
          </a:r>
          <a:r>
            <a:rPr lang="en-GB" sz="1100" b="0" i="1" baseline="0">
              <a:solidFill>
                <a:schemeClr val="dk1"/>
              </a:solidFill>
              <a:effectLst/>
              <a:latin typeface="Montserrat" panose="00000500000000000000" pitchFamily="2" charset="0"/>
              <a:ea typeface="+mn-ea"/>
              <a:cs typeface="+mn-cs"/>
            </a:rPr>
            <a:t>non-certified</a:t>
          </a:r>
          <a:r>
            <a:rPr lang="en-GB" sz="1100" b="0" i="0" baseline="0">
              <a:solidFill>
                <a:schemeClr val="dk1"/>
              </a:solidFill>
              <a:effectLst/>
              <a:latin typeface="Montserrat" panose="00000500000000000000" pitchFamily="2" charset="0"/>
              <a:ea typeface="+mn-ea"/>
              <a:cs typeface="+mn-cs"/>
            </a:rPr>
            <a:t> harvested production volume </a:t>
          </a:r>
          <a:r>
            <a:rPr lang="en-GB" sz="1100">
              <a:solidFill>
                <a:schemeClr val="dk1"/>
              </a:solidFill>
              <a:effectLst/>
              <a:latin typeface="Montserrat" panose="00000500000000000000" pitchFamily="2" charset="0"/>
              <a:ea typeface="+mn-ea"/>
              <a:cs typeface="+mn-cs"/>
            </a:rPr>
            <a:t>animals (live weight in metric tonnes, 1 tonne = 1000 kg)</a:t>
          </a:r>
          <a:r>
            <a:rPr lang="en-GB" sz="1100" b="0" i="0" baseline="0">
              <a:solidFill>
                <a:schemeClr val="dk1"/>
              </a:solidFill>
              <a:effectLst/>
              <a:latin typeface="Montserrat" panose="00000500000000000000" pitchFamily="2" charset="0"/>
              <a:ea typeface="+mn-ea"/>
              <a:cs typeface="+mn-cs"/>
            </a:rPr>
            <a:t>. This could be production volume where ASC requirements were not met during the production or species that are not within the scope of the certificate. </a:t>
          </a:r>
        </a:p>
        <a:p>
          <a:pPr eaLnBrk="1" fontAlgn="auto" latinLnBrk="0" hangingPunct="1"/>
          <a:endParaRPr lang="en-US">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b="1">
              <a:effectLst/>
              <a:latin typeface="Montserrat" panose="00000500000000000000" pitchFamily="2" charset="0"/>
            </a:rPr>
            <a:t>ASC certified net production </a:t>
          </a:r>
          <a:r>
            <a:rPr lang="en-US" sz="1100" b="1">
              <a:solidFill>
                <a:schemeClr val="dk1"/>
              </a:solidFill>
              <a:effectLst/>
              <a:latin typeface="Montserrat" panose="00000500000000000000" pitchFamily="2" charset="0"/>
              <a:ea typeface="+mn-ea"/>
              <a:cs typeface="+mn-cs"/>
            </a:rPr>
            <a:t>volume </a:t>
          </a:r>
          <a:r>
            <a:rPr lang="en-GB" sz="1100" b="1" i="0">
              <a:solidFill>
                <a:schemeClr val="dk1"/>
              </a:solidFill>
              <a:effectLst/>
              <a:latin typeface="Montserrat" panose="00000500000000000000" pitchFamily="2" charset="0"/>
              <a:ea typeface="+mn-ea"/>
              <a:cs typeface="+mn-cs"/>
            </a:rPr>
            <a:t>(tonnes) </a:t>
          </a:r>
          <a:r>
            <a:rPr lang="en-GB" sz="1100">
              <a:solidFill>
                <a:schemeClr val="dk1"/>
              </a:solidFill>
              <a:effectLst/>
              <a:latin typeface="Montserrat" panose="00000500000000000000" pitchFamily="2" charset="0"/>
              <a:ea typeface="+mn-ea"/>
              <a:cs typeface="+mn-cs"/>
            </a:rPr>
            <a:t>(Calculated field)</a:t>
          </a:r>
          <a:endParaRPr lang="en-NL" sz="1100">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b="0">
              <a:effectLst/>
              <a:latin typeface="Montserrat" panose="00000500000000000000" pitchFamily="2" charset="0"/>
            </a:rPr>
            <a:t>The</a:t>
          </a:r>
          <a:r>
            <a:rPr lang="en-US" b="0" baseline="0">
              <a:effectLst/>
              <a:latin typeface="Montserrat" panose="00000500000000000000" pitchFamily="2" charset="0"/>
            </a:rPr>
            <a:t> net production volume is automatically calculated, based on </a:t>
          </a:r>
          <a:r>
            <a:rPr lang="en-US" sz="1100" b="0" baseline="0">
              <a:solidFill>
                <a:schemeClr val="dk1"/>
              </a:solidFill>
              <a:effectLst/>
              <a:latin typeface="Montserrat" panose="00000500000000000000" pitchFamily="2" charset="0"/>
              <a:ea typeface="+mn-ea"/>
              <a:cs typeface="+mn-cs"/>
            </a:rPr>
            <a:t>ASC certified </a:t>
          </a:r>
          <a:r>
            <a:rPr lang="en-US" b="0" baseline="0">
              <a:effectLst/>
              <a:latin typeface="Montserrat" panose="00000500000000000000" pitchFamily="2" charset="0"/>
            </a:rPr>
            <a:t>harvested and stocked volume </a:t>
          </a:r>
          <a:r>
            <a:rPr lang="en-US" sz="1100" b="0" baseline="0">
              <a:solidFill>
                <a:schemeClr val="dk1"/>
              </a:solidFill>
              <a:effectLst/>
              <a:latin typeface="Montserrat" panose="00000500000000000000" pitchFamily="2" charset="0"/>
              <a:ea typeface="+mn-ea"/>
              <a:cs typeface="+mn-cs"/>
            </a:rPr>
            <a:t>and is calculated as follows:</a:t>
          </a:r>
          <a:endParaRPr lang="en-NL">
            <a:effectLst/>
            <a:latin typeface="Montserrat" panose="00000500000000000000" pitchFamily="2" charset="0"/>
          </a:endParaRPr>
        </a:p>
        <a:p>
          <a:pPr eaLnBrk="1" fontAlgn="auto" latinLnBrk="0" hangingPunct="1"/>
          <a:endParaRPr lang="en-NL">
            <a:effectLst/>
            <a:latin typeface="Montserrat" panose="00000500000000000000" pitchFamily="2" charset="0"/>
          </a:endParaRPr>
        </a:p>
        <a:p>
          <a:r>
            <a:rPr lang="en-US" sz="1100" b="0" i="1">
              <a:solidFill>
                <a:schemeClr val="dk1"/>
              </a:solidFill>
              <a:effectLst/>
              <a:latin typeface="Montserrat" panose="00000500000000000000" pitchFamily="2" charset="0"/>
              <a:ea typeface="+mn-ea"/>
              <a:cs typeface="+mn-cs"/>
            </a:rPr>
            <a:t>	ASC certified </a:t>
          </a:r>
          <a:r>
            <a:rPr lang="en-US" sz="1100" b="0" i="1" u="none" strike="noStrike">
              <a:solidFill>
                <a:schemeClr val="dk1"/>
              </a:solidFill>
              <a:effectLst/>
              <a:latin typeface="Montserrat" panose="00000500000000000000" pitchFamily="2" charset="0"/>
              <a:ea typeface="+mn-ea"/>
              <a:cs typeface="+mn-cs"/>
            </a:rPr>
            <a:t>net production volume (tonnes) = harvested volume</a:t>
          </a:r>
          <a:r>
            <a:rPr lang="en-US" sz="1100" b="0" i="1" u="none" strike="noStrike" baseline="0">
              <a:solidFill>
                <a:schemeClr val="dk1"/>
              </a:solidFill>
              <a:effectLst/>
              <a:latin typeface="Montserrat" panose="00000500000000000000" pitchFamily="2" charset="0"/>
              <a:ea typeface="+mn-ea"/>
              <a:cs typeface="+mn-cs"/>
            </a:rPr>
            <a:t> </a:t>
          </a:r>
          <a:r>
            <a:rPr lang="en-US" sz="1100" b="0" i="1" u="none" strike="noStrike">
              <a:solidFill>
                <a:schemeClr val="dk1"/>
              </a:solidFill>
              <a:effectLst/>
              <a:latin typeface="Montserrat" panose="00000500000000000000" pitchFamily="2" charset="0"/>
              <a:ea typeface="+mn-ea"/>
              <a:cs typeface="+mn-cs"/>
            </a:rPr>
            <a:t>(tonnes) − stocked volume (tonnes)</a:t>
          </a:r>
        </a:p>
        <a:p>
          <a:endParaRPr lang="en-US" sz="1100" b="0" i="1" u="none" strike="noStrike">
            <a:solidFill>
              <a:schemeClr val="dk1"/>
            </a:solidFill>
            <a:effectLst/>
            <a:latin typeface="Montserrat" panose="00000500000000000000" pitchFamily="2" charset="0"/>
            <a:ea typeface="+mn-ea"/>
            <a:cs typeface="+mn-cs"/>
          </a:endParaRPr>
        </a:p>
        <a:p>
          <a:r>
            <a:rPr lang="en-US" sz="1100" b="1">
              <a:solidFill>
                <a:schemeClr val="dk1"/>
              </a:solidFill>
              <a:effectLst/>
              <a:latin typeface="Montserrat" panose="00000500000000000000" pitchFamily="2" charset="0"/>
              <a:ea typeface="+mn-ea"/>
              <a:cs typeface="+mn-cs"/>
            </a:rPr>
            <a:t>Notes </a:t>
          </a:r>
          <a:r>
            <a:rPr lang="en-US" sz="1100">
              <a:solidFill>
                <a:schemeClr val="dk1"/>
              </a:solidFill>
              <a:effectLst/>
              <a:latin typeface="Montserrat" panose="00000500000000000000" pitchFamily="2" charset="0"/>
              <a:ea typeface="+mn-ea"/>
              <a:cs typeface="+mn-cs"/>
            </a:rPr>
            <a:t>(Voluntary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This field may be used to provide any other relevant information or clarifications.</a:t>
          </a:r>
          <a:endParaRPr lang="en-NL">
            <a:effectLst/>
            <a:latin typeface="Montserrat" panose="00000500000000000000" pitchFamily="2" charset="0"/>
          </a:endParaRPr>
        </a:p>
        <a:p>
          <a:endParaRPr lang="en-NL" b="0">
            <a:effectLst/>
            <a:latin typeface="Montserrat" panose="00000500000000000000" pitchFamily="2" charset="0"/>
          </a:endParaRP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15</xdr:col>
      <xdr:colOff>6350</xdr:colOff>
      <xdr:row>2</xdr:row>
      <xdr:rowOff>0</xdr:rowOff>
    </xdr:from>
    <xdr:to>
      <xdr:col>27</xdr:col>
      <xdr:colOff>12188</xdr:colOff>
      <xdr:row>48</xdr:row>
      <xdr:rowOff>202406</xdr:rowOff>
    </xdr:to>
    <xdr:sp macro="" textlink="">
      <xdr:nvSpPr>
        <xdr:cNvPr id="47" name="TextBox 1">
          <a:extLst>
            <a:ext uri="{FF2B5EF4-FFF2-40B4-BE49-F238E27FC236}">
              <a16:creationId xmlns:a16="http://schemas.microsoft.com/office/drawing/2014/main" id="{00000000-0008-0000-1500-000018000000}"/>
            </a:ext>
          </a:extLst>
        </xdr:cNvPr>
        <xdr:cNvSpPr txBox="1"/>
      </xdr:nvSpPr>
      <xdr:spPr>
        <a:xfrm>
          <a:off x="16782256" y="428625"/>
          <a:ext cx="7578213" cy="10048875"/>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i="0">
              <a:solidFill>
                <a:schemeClr val="dk1"/>
              </a:solidFill>
              <a:effectLst/>
              <a:latin typeface="Montserrat" panose="00000500000000000000" pitchFamily="2" charset="0"/>
              <a:ea typeface="+mn-ea"/>
              <a:cs typeface="+mn-cs"/>
            </a:rPr>
            <a:t>USER GUIDANCE</a:t>
          </a:r>
          <a:endParaRPr lang="en-US" sz="1100" b="0" i="0" baseline="0">
            <a:solidFill>
              <a:sysClr val="windowText" lastClr="000000"/>
            </a:solidFill>
            <a:effectLst/>
            <a:latin typeface="Montserrat" panose="00000500000000000000" pitchFamily="2" charset="0"/>
            <a:ea typeface="+mn-ea"/>
            <a:cs typeface="+mn-cs"/>
          </a:endParaRPr>
        </a:p>
        <a:p>
          <a:r>
            <a:rPr lang="en-US" sz="1100" b="0" i="0">
              <a:solidFill>
                <a:schemeClr val="dk1"/>
              </a:solidFill>
              <a:effectLst/>
              <a:latin typeface="Montserrat" panose="00000500000000000000" pitchFamily="2" charset="0"/>
              <a:ea typeface="+mn-ea"/>
              <a:cs typeface="+mn-cs"/>
            </a:rPr>
            <a:t>Report</a:t>
          </a:r>
          <a:r>
            <a:rPr lang="en-US" sz="1100" b="0" i="0" baseline="0">
              <a:solidFill>
                <a:schemeClr val="dk1"/>
              </a:solidFill>
              <a:effectLst/>
              <a:latin typeface="Montserrat" panose="00000500000000000000" pitchFamily="2" charset="0"/>
              <a:ea typeface="+mn-ea"/>
              <a:cs typeface="+mn-cs"/>
            </a:rPr>
            <a:t> in</a:t>
          </a:r>
          <a:r>
            <a:rPr lang="en-US" sz="1100" b="0" i="0">
              <a:solidFill>
                <a:schemeClr val="dk1"/>
              </a:solidFill>
              <a:effectLst/>
              <a:latin typeface="Montserrat" panose="00000500000000000000" pitchFamily="2" charset="0"/>
              <a:ea typeface="+mn-ea"/>
              <a:cs typeface="+mn-cs"/>
            </a:rPr>
            <a:t> table 1 the mortality count</a:t>
          </a:r>
          <a:r>
            <a:rPr lang="en-US" sz="1100" b="0" i="0" baseline="0">
              <a:solidFill>
                <a:schemeClr val="dk1"/>
              </a:solidFill>
              <a:effectLst/>
              <a:latin typeface="Montserrat" panose="00000500000000000000" pitchFamily="2" charset="0"/>
              <a:ea typeface="+mn-ea"/>
              <a:cs typeface="+mn-cs"/>
            </a:rPr>
            <a:t> and cause that occured during the production of each produced species at the </a:t>
          </a:r>
          <a:r>
            <a:rPr lang="en-US" sz="1100" b="0" i="0">
              <a:solidFill>
                <a:schemeClr val="dk1"/>
              </a:solidFill>
              <a:effectLst/>
              <a:latin typeface="Montserrat" panose="00000500000000000000" pitchFamily="2" charset="0"/>
              <a:ea typeface="+mn-ea"/>
              <a:cs typeface="+mn-cs"/>
            </a:rPr>
            <a:t>ASC</a:t>
          </a:r>
          <a:r>
            <a:rPr lang="en-US" sz="1100" b="0" i="0" baseline="0">
              <a:solidFill>
                <a:schemeClr val="dk1"/>
              </a:solidFill>
              <a:effectLst/>
              <a:latin typeface="Montserrat" panose="00000500000000000000" pitchFamily="2" charset="0"/>
              <a:ea typeface="+mn-ea"/>
              <a:cs typeface="+mn-cs"/>
            </a:rPr>
            <a:t> </a:t>
          </a:r>
          <a:r>
            <a:rPr lang="en-US" sz="1100" b="0" i="1" baseline="0">
              <a:solidFill>
                <a:schemeClr val="dk1"/>
              </a:solidFill>
              <a:effectLst/>
              <a:latin typeface="Montserrat" panose="00000500000000000000" pitchFamily="2" charset="0"/>
              <a:ea typeface="+mn-ea"/>
              <a:cs typeface="+mn-cs"/>
            </a:rPr>
            <a:t>certified</a:t>
          </a:r>
          <a:r>
            <a:rPr lang="en-US" sz="1100" b="0" i="0" baseline="0">
              <a:solidFill>
                <a:schemeClr val="dk1"/>
              </a:solidFill>
              <a:effectLst/>
              <a:latin typeface="Montserrat" panose="00000500000000000000" pitchFamily="2" charset="0"/>
              <a:ea typeface="+mn-ea"/>
              <a:cs typeface="+mn-cs"/>
            </a:rPr>
            <a:t> or </a:t>
          </a:r>
          <a:r>
            <a:rPr lang="en-US" sz="1100" b="0" i="1" baseline="0">
              <a:solidFill>
                <a:schemeClr val="dk1"/>
              </a:solidFill>
              <a:effectLst/>
              <a:latin typeface="Montserrat" panose="00000500000000000000" pitchFamily="2" charset="0"/>
              <a:ea typeface="+mn-ea"/>
              <a:cs typeface="+mn-cs"/>
            </a:rPr>
            <a:t>suspended</a:t>
          </a:r>
          <a:r>
            <a:rPr lang="en-US" sz="1100" b="0" i="0" baseline="0">
              <a:solidFill>
                <a:schemeClr val="dk1"/>
              </a:solidFill>
              <a:effectLst/>
              <a:latin typeface="Montserrat" panose="00000500000000000000" pitchFamily="2" charset="0"/>
              <a:ea typeface="+mn-ea"/>
              <a:cs typeface="+mn-cs"/>
            </a:rPr>
            <a:t> farm site where harvest took place in the reporting year.</a:t>
          </a:r>
          <a:r>
            <a:rPr lang="en-GB" sz="1100" b="0" i="0" baseline="0">
              <a:solidFill>
                <a:schemeClr val="dk1"/>
              </a:solidFill>
              <a:effectLst/>
              <a:latin typeface="Montserrat" panose="00000500000000000000" pitchFamily="2" charset="0"/>
              <a:ea typeface="+mn-ea"/>
              <a:cs typeface="+mn-cs"/>
            </a:rPr>
            <a:t> </a:t>
          </a:r>
          <a:r>
            <a:rPr lang="en-US" sz="1100" b="0" i="0">
              <a:solidFill>
                <a:schemeClr val="dk1"/>
              </a:solidFill>
              <a:effectLst/>
              <a:latin typeface="Montserrat" panose="00000500000000000000" pitchFamily="2" charset="0"/>
              <a:ea typeface="+mn-ea"/>
              <a:cs typeface="+mn-cs"/>
            </a:rPr>
            <a:t>In case no mortalities were recorded, no reporting is required in table 1. </a:t>
          </a:r>
          <a:endParaRPr lang="en-US" sz="1100" b="0" i="0" baseline="0">
            <a:solidFill>
              <a:schemeClr val="dk1"/>
            </a:solidFill>
            <a:effectLst/>
            <a:latin typeface="Montserrat" panose="00000500000000000000" pitchFamily="2" charset="0"/>
            <a:ea typeface="+mn-ea"/>
            <a:cs typeface="+mn-cs"/>
          </a:endParaRPr>
        </a:p>
        <a:p>
          <a:endParaRPr lang="en-GB">
            <a:effectLst/>
            <a:latin typeface="Montserrat" panose="00000500000000000000" pitchFamily="2" charset="0"/>
          </a:endParaRPr>
        </a:p>
        <a:p>
          <a:pPr eaLnBrk="1" fontAlgn="auto" latinLnBrk="0" hangingPunct="1"/>
          <a:r>
            <a:rPr lang="en-US" sz="1100" b="0" i="0">
              <a:solidFill>
                <a:schemeClr val="dk1"/>
              </a:solidFill>
              <a:effectLst/>
              <a:latin typeface="Montserrat" panose="00000500000000000000" pitchFamily="2" charset="0"/>
              <a:ea typeface="+mn-ea"/>
              <a:cs typeface="+mn-cs"/>
            </a:rPr>
            <a:t>In table 2 the relevant production data is autopopulated from the 'Site and production details'</a:t>
          </a:r>
          <a:r>
            <a:rPr lang="en-US" sz="1100" b="0" i="0" baseline="0">
              <a:solidFill>
                <a:schemeClr val="dk1"/>
              </a:solidFill>
              <a:effectLst/>
              <a:latin typeface="Montserrat" panose="00000500000000000000" pitchFamily="2" charset="0"/>
              <a:ea typeface="+mn-ea"/>
              <a:cs typeface="+mn-cs"/>
            </a:rPr>
            <a:t> tab and the mortality rate and real percentage mortality are automatically calculated per species per site based on mortality data from table 1.</a:t>
          </a:r>
          <a:endParaRPr lang="en-GB">
            <a:effectLst/>
            <a:latin typeface="Montserrat" panose="00000500000000000000" pitchFamily="2" charset="0"/>
          </a:endParaRPr>
        </a:p>
        <a:p>
          <a:endParaRPr lang="en-US" sz="1100" b="0" i="0"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u="sng">
              <a:solidFill>
                <a:sysClr val="windowText" lastClr="000000"/>
              </a:solidFill>
              <a:effectLst/>
              <a:latin typeface="Montserrat" panose="00000500000000000000" pitchFamily="2" charset="0"/>
              <a:ea typeface="+mn-ea"/>
              <a:cs typeface="+mn-cs"/>
            </a:rPr>
            <a:t>TABLE 1. Mortality reporting</a:t>
          </a:r>
          <a:endParaRPr lang="en-US" sz="1100" b="1" i="0" u="none">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u="none">
              <a:solidFill>
                <a:sysClr val="windowText" lastClr="000000"/>
              </a:solidFill>
              <a:effectLst/>
              <a:latin typeface="Montserrat" panose="00000500000000000000" pitchFamily="2" charset="0"/>
              <a:ea typeface="+mn-ea"/>
              <a:cs typeface="+mn-cs"/>
            </a:rPr>
            <a:t>Species in production (Latin name) (select) </a:t>
          </a:r>
          <a:r>
            <a:rPr lang="en-US" sz="1100" b="0" i="0" u="none">
              <a:solidFill>
                <a:sysClr val="windowText" lastClr="000000"/>
              </a:solidFill>
              <a:effectLst/>
              <a:latin typeface="Montserrat" panose="00000500000000000000" pitchFamily="2" charset="0"/>
              <a:ea typeface="+mn-ea"/>
              <a:cs typeface="+mn-cs"/>
            </a:rPr>
            <a:t>(Mandatory field)</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u="none">
              <a:solidFill>
                <a:sysClr val="windowText" lastClr="000000"/>
              </a:solidFill>
              <a:effectLst/>
              <a:latin typeface="Montserrat" panose="00000500000000000000" pitchFamily="2" charset="0"/>
              <a:ea typeface="+mn-ea"/>
              <a:cs typeface="+mn-cs"/>
            </a:rPr>
            <a:t>Select the species mortalities are reported for using the dropdown menu. The selection option is based on the species name provided in the 'Site and production details' tab.</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1" i="0" u="none">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u="none">
              <a:solidFill>
                <a:sysClr val="windowText" lastClr="000000"/>
              </a:solidFill>
              <a:effectLst/>
              <a:latin typeface="Montserrat" panose="00000500000000000000" pitchFamily="2" charset="0"/>
              <a:ea typeface="+mn-ea"/>
              <a:cs typeface="+mn-cs"/>
            </a:rPr>
            <a:t>Cycle ID (select) </a:t>
          </a:r>
          <a:r>
            <a:rPr lang="en-US" sz="1100" b="0" i="0" u="none">
              <a:solidFill>
                <a:sysClr val="windowText" lastClr="000000"/>
              </a:solidFill>
              <a:effectLst/>
              <a:latin typeface="Montserrat" panose="00000500000000000000" pitchFamily="2" charset="0"/>
              <a:ea typeface="+mn-ea"/>
              <a:cs typeface="+mn-cs"/>
            </a:rPr>
            <a:t>(Voluntary field)</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u="none">
              <a:solidFill>
                <a:sysClr val="windowText" lastClr="000000"/>
              </a:solidFill>
              <a:effectLst/>
              <a:latin typeface="Montserrat" panose="00000500000000000000" pitchFamily="2" charset="0"/>
              <a:ea typeface="+mn-ea"/>
              <a:cs typeface="+mn-cs"/>
            </a:rPr>
            <a:t>Please select the cycle ID for which mortalities are reported for.</a:t>
          </a:r>
          <a:r>
            <a:rPr lang="en-US" sz="1100" b="0" i="0" u="none" baseline="0">
              <a:solidFill>
                <a:sysClr val="windowText" lastClr="000000"/>
              </a:solidFill>
              <a:effectLst/>
              <a:latin typeface="Montserrat" panose="00000500000000000000" pitchFamily="2" charset="0"/>
              <a:ea typeface="+mn-ea"/>
              <a:cs typeface="+mn-cs"/>
            </a:rPr>
            <a:t> </a:t>
          </a:r>
          <a:r>
            <a:rPr lang="en-US" sz="1100" b="0" i="0" u="none">
              <a:solidFill>
                <a:sysClr val="windowText" lastClr="000000"/>
              </a:solidFill>
              <a:effectLst/>
              <a:latin typeface="Montserrat" panose="00000500000000000000" pitchFamily="2" charset="0"/>
              <a:ea typeface="+mn-ea"/>
              <a:cs typeface="+mn-cs"/>
            </a:rPr>
            <a:t>The selection option is based on the cycl</a:t>
          </a:r>
          <a:r>
            <a:rPr lang="en-US" sz="1100" b="0" i="0" u="none" baseline="0">
              <a:solidFill>
                <a:sysClr val="windowText" lastClr="000000"/>
              </a:solidFill>
              <a:effectLst/>
              <a:latin typeface="Montserrat" panose="00000500000000000000" pitchFamily="2" charset="0"/>
              <a:ea typeface="+mn-ea"/>
              <a:cs typeface="+mn-cs"/>
            </a:rPr>
            <a:t>e IDs </a:t>
          </a:r>
          <a:r>
            <a:rPr lang="en-US" sz="1100" b="0" i="0" u="none">
              <a:solidFill>
                <a:sysClr val="windowText" lastClr="000000"/>
              </a:solidFill>
              <a:effectLst/>
              <a:latin typeface="Montserrat" panose="00000500000000000000" pitchFamily="2" charset="0"/>
              <a:ea typeface="+mn-ea"/>
              <a:cs typeface="+mn-cs"/>
            </a:rPr>
            <a:t>provided in the 'Site and production details' tab.</a:t>
          </a:r>
        </a:p>
        <a:p>
          <a:endParaRPr lang="en-GB">
            <a:solidFill>
              <a:sysClr val="windowText" lastClr="000000"/>
            </a:solidFil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nl-NL" sz="1100" b="1">
              <a:solidFill>
                <a:sysClr val="windowText" lastClr="000000"/>
              </a:solidFill>
              <a:effectLst/>
              <a:latin typeface="Montserrat" panose="00000500000000000000" pitchFamily="2" charset="0"/>
              <a:ea typeface="+mn-ea"/>
              <a:cs typeface="+mn-cs"/>
            </a:rPr>
            <a:t>Mortality</a:t>
          </a:r>
          <a:r>
            <a:rPr lang="nl-NL" sz="1100" b="1" baseline="0">
              <a:solidFill>
                <a:sysClr val="windowText" lastClr="000000"/>
              </a:solidFill>
              <a:effectLst/>
              <a:latin typeface="Montserrat" panose="00000500000000000000" pitchFamily="2" charset="0"/>
              <a:ea typeface="+mn-ea"/>
              <a:cs typeface="+mn-cs"/>
            </a:rPr>
            <a:t> count (# animals) </a:t>
          </a:r>
          <a:r>
            <a:rPr lang="en-US" sz="1100" b="0" i="0" baseline="0">
              <a:solidFill>
                <a:schemeClr val="dk1"/>
              </a:solidFill>
              <a:effectLst/>
              <a:latin typeface="Montserrat" panose="00000500000000000000" pitchFamily="2" charset="0"/>
              <a:ea typeface="+mn-ea"/>
              <a:cs typeface="+mn-cs"/>
            </a:rPr>
            <a:t>(Mandatory field)</a:t>
          </a:r>
          <a:endParaRPr lang="nl-NL" sz="1100" b="1" baseline="0">
            <a:solidFill>
              <a:sysClr val="windowText" lastClr="000000"/>
            </a:solidFill>
            <a:effectLst/>
            <a:latin typeface="Montserrat" panose="00000500000000000000" pitchFamily="2" charset="0"/>
            <a:ea typeface="+mn-ea"/>
            <a:cs typeface="+mn-cs"/>
          </a:endParaRPr>
        </a:p>
        <a:p>
          <a:pPr eaLnBrk="1" fontAlgn="auto" latinLnBrk="0" hangingPunct="1"/>
          <a:r>
            <a:rPr lang="nl-NL" sz="1100" b="0" baseline="0">
              <a:solidFill>
                <a:schemeClr val="dk1"/>
              </a:solidFill>
              <a:effectLst/>
              <a:latin typeface="Montserrat" panose="00000500000000000000" pitchFamily="2" charset="0"/>
              <a:ea typeface="+mn-ea"/>
              <a:cs typeface="+mn-cs"/>
            </a:rPr>
            <a:t>Indicate the number of dead animals per mortality cause. </a:t>
          </a:r>
        </a:p>
        <a:p>
          <a:pPr eaLnBrk="1" fontAlgn="auto" latinLnBrk="0" hangingPunct="1"/>
          <a:endParaRPr lang="en-US" sz="1100">
            <a:solidFill>
              <a:schemeClr val="bg1">
                <a:lumMod val="65000"/>
              </a:schemeClr>
            </a:solidFill>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a:solidFill>
                <a:sysClr val="windowText" lastClr="000000"/>
              </a:solidFill>
              <a:latin typeface="Montserrat" panose="00000500000000000000" pitchFamily="2" charset="0"/>
            </a:rPr>
            <a:t>Mortality cause (select) </a:t>
          </a:r>
          <a:r>
            <a:rPr lang="en-US" sz="1100" b="0" i="0" baseline="0">
              <a:solidFill>
                <a:schemeClr val="dk1"/>
              </a:solidFill>
              <a:effectLst/>
              <a:latin typeface="Montserrat" panose="00000500000000000000" pitchFamily="2" charset="0"/>
              <a:ea typeface="+mn-ea"/>
              <a:cs typeface="+mn-cs"/>
            </a:rPr>
            <a:t>(Mandatory field)</a:t>
          </a:r>
          <a:endParaRPr lang="en-US" sz="1100" b="1">
            <a:solidFill>
              <a:sysClr val="windowText" lastClr="000000"/>
            </a:solidFill>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ysClr val="windowText" lastClr="000000"/>
              </a:solidFill>
              <a:latin typeface="Montserrat" panose="00000500000000000000" pitchFamily="2" charset="0"/>
            </a:rPr>
            <a:t>Select</a:t>
          </a:r>
          <a:r>
            <a:rPr lang="en-US" sz="1100" baseline="0">
              <a:solidFill>
                <a:sysClr val="windowText" lastClr="000000"/>
              </a:solidFill>
              <a:latin typeface="Montserrat" panose="00000500000000000000" pitchFamily="2" charset="0"/>
            </a:rPr>
            <a:t> the cause of mortality using the dropdown menu. </a:t>
          </a:r>
          <a:r>
            <a:rPr lang="en-US" sz="1100" b="0">
              <a:solidFill>
                <a:sysClr val="windowText" lastClr="000000"/>
              </a:solidFill>
              <a:effectLst/>
              <a:latin typeface="Montserrat" panose="00000500000000000000" pitchFamily="2" charset="0"/>
              <a:ea typeface="+mn-ea"/>
              <a:cs typeface="+mn-cs"/>
            </a:rPr>
            <a:t>In case the cause of mortality is not</a:t>
          </a:r>
          <a:r>
            <a:rPr lang="en-US" sz="1100" b="0" baseline="0">
              <a:solidFill>
                <a:sysClr val="windowText" lastClr="000000"/>
              </a:solidFill>
              <a:effectLst/>
              <a:latin typeface="Montserrat" panose="00000500000000000000" pitchFamily="2" charset="0"/>
              <a:ea typeface="+mn-ea"/>
              <a:cs typeface="+mn-cs"/>
            </a:rPr>
            <a:t> one of the options provided, please type out the cause of the incident here as concise as possible. Culled (killed) fish needs to be included  and the reason for culling specified in the notes section.</a:t>
          </a:r>
        </a:p>
        <a:p>
          <a:endParaRPr lang="en-US">
            <a:solidFill>
              <a:sysClr val="windowText" lastClr="000000"/>
            </a:solidFill>
            <a:effectLst/>
            <a:latin typeface="Montserrat" panose="00000500000000000000" pitchFamily="2" charset="0"/>
          </a:endParaRPr>
        </a:p>
        <a:p>
          <a:pPr eaLnBrk="1" fontAlgn="auto" latinLnBrk="0" hangingPunct="1"/>
          <a:r>
            <a:rPr lang="en-US" sz="1100" b="1" i="0">
              <a:solidFill>
                <a:schemeClr val="dk1"/>
              </a:solidFill>
              <a:effectLst/>
              <a:latin typeface="Montserrat" panose="00000500000000000000" pitchFamily="2" charset="0"/>
              <a:ea typeface="+mn-ea"/>
              <a:cs typeface="+mn-cs"/>
            </a:rPr>
            <a:t>Notes </a:t>
          </a:r>
          <a:r>
            <a:rPr lang="en-US" sz="1100" b="0" i="0">
              <a:solidFill>
                <a:schemeClr val="dk1"/>
              </a:solidFill>
              <a:effectLst/>
              <a:latin typeface="Montserrat" panose="00000500000000000000" pitchFamily="2" charset="0"/>
              <a:ea typeface="+mn-ea"/>
              <a:cs typeface="+mn-cs"/>
            </a:rPr>
            <a:t>(Voluntary field)</a:t>
          </a:r>
          <a:endParaRPr lang="en-GB" b="0">
            <a:effectLst/>
            <a:latin typeface="Montserrat" panose="00000500000000000000" pitchFamily="2" charset="0"/>
          </a:endParaRPr>
        </a:p>
        <a:p>
          <a:pPr eaLnBrk="1" fontAlgn="auto" latinLnBrk="0" hangingPunct="1"/>
          <a:r>
            <a:rPr lang="en-US" sz="1100" b="0" i="0">
              <a:solidFill>
                <a:schemeClr val="dk1"/>
              </a:solidFill>
              <a:effectLst/>
              <a:latin typeface="Montserrat" panose="00000500000000000000" pitchFamily="2" charset="0"/>
              <a:ea typeface="+mn-ea"/>
              <a:cs typeface="+mn-cs"/>
            </a:rPr>
            <a:t>This field may be used to provide any other relevant information or clarifications.</a:t>
          </a:r>
          <a:endParaRPr lang="en-GB">
            <a:effectLst/>
            <a:latin typeface="Montserrat" panose="00000500000000000000" pitchFamily="2" charset="0"/>
          </a:endParaRPr>
        </a:p>
        <a:p>
          <a:pPr eaLnBrk="1" fontAlgn="auto" latinLnBrk="0" hangingPunct="1"/>
          <a:endParaRPr lang="en-US" sz="1100" b="0" i="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sng">
              <a:solidFill>
                <a:sysClr val="windowText" lastClr="000000"/>
              </a:solidFill>
              <a:effectLst/>
              <a:latin typeface="Montserrat" panose="00000500000000000000" pitchFamily="2" charset="0"/>
              <a:ea typeface="+mn-ea"/>
              <a:cs typeface="+mn-cs"/>
            </a:rPr>
            <a:t>TABLE 2. Mortality rate per species</a:t>
          </a: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Species in production (latin name)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The species in production is autopopulated from </a:t>
          </a:r>
          <a:r>
            <a:rPr lang="en-US" sz="1100" b="0" i="0" baseline="0">
              <a:solidFill>
                <a:schemeClr val="dk1"/>
              </a:solidFill>
              <a:effectLst/>
              <a:latin typeface="Montserrat" pitchFamily="2" charset="0"/>
              <a:ea typeface="+mn-ea"/>
              <a:cs typeface="+mn-cs"/>
            </a:rPr>
            <a:t>the 'Site and production details' tab.</a:t>
          </a:r>
          <a:endParaRPr lang="en-GB">
            <a:effectLst/>
            <a:latin typeface="Montserrat" pitchFamily="2" charset="0"/>
          </a:endParaRPr>
        </a:p>
        <a:p>
          <a:pPr eaLnBrk="1" fontAlgn="auto" latinLnBrk="0" hangingPunct="1"/>
          <a:endParaRPr lang="en-US" sz="1100" b="1"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Stocking count (# animals)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The stocking count is autopopulated from the 'Site and production details' tab.</a:t>
          </a:r>
        </a:p>
        <a:p>
          <a:pPr eaLnBrk="1" fontAlgn="auto" latinLnBrk="0" hangingPunct="1"/>
          <a:endParaRPr lang="en-US" sz="1100" b="1"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Harvest count (# animals)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The harvest count is autopopulated from </a:t>
          </a:r>
          <a:r>
            <a:rPr lang="en-US" sz="1100" b="0" i="0" baseline="0">
              <a:solidFill>
                <a:schemeClr val="dk1"/>
              </a:solidFill>
              <a:effectLst/>
              <a:latin typeface="Montserrat" pitchFamily="2" charset="0"/>
              <a:ea typeface="+mn-ea"/>
              <a:cs typeface="+mn-cs"/>
            </a:rPr>
            <a:t>the 'Site and production details' tab.</a:t>
          </a:r>
          <a:endParaRPr lang="en-GB">
            <a:effectLst/>
            <a:latin typeface="Montserrat" pitchFamily="2" charset="0"/>
          </a:endParaRPr>
        </a:p>
        <a:p>
          <a:pPr eaLnBrk="1" fontAlgn="auto" latinLnBrk="0" hangingPunct="1"/>
          <a:endParaRPr lang="en-US" sz="1100" b="1"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Mortality count (# animals)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The mortality count is calculated from the </a:t>
          </a:r>
          <a:r>
            <a:rPr lang="de-DE" sz="1100" b="0" i="0" u="none" baseline="0">
              <a:solidFill>
                <a:sysClr val="windowText" lastClr="000000"/>
              </a:solidFill>
              <a:effectLst/>
              <a:latin typeface="Montserrat" panose="00000500000000000000" pitchFamily="2" charset="0"/>
              <a:ea typeface="+mn-ea"/>
              <a:cs typeface="+mn-cs"/>
            </a:rPr>
            <a:t>mortality reporting in table 1.</a:t>
          </a:r>
          <a:endParaRPr lang="en-GB" sz="1100" b="1" i="0" u="none" strike="noStrike">
            <a:solidFill>
              <a:schemeClr val="dk1"/>
            </a:solidFill>
            <a:effectLst/>
            <a:latin typeface="Montserrat" panose="00000500000000000000" pitchFamily="2" charset="0"/>
            <a:ea typeface="+mn-ea"/>
            <a:cs typeface="+mn-cs"/>
          </a:endParaRPr>
        </a:p>
        <a:p>
          <a:pPr eaLnBrk="1" fontAlgn="auto" latinLnBrk="0" hangingPunct="1"/>
          <a:endParaRPr lang="en-GB" sz="1100" b="1" i="0" u="none" strike="noStrike">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a:solidFill>
                <a:schemeClr val="dk1"/>
              </a:solidFill>
              <a:effectLst/>
              <a:latin typeface="Montserrat" panose="00000500000000000000" pitchFamily="2" charset="0"/>
              <a:ea typeface="+mn-ea"/>
              <a:cs typeface="+mn-cs"/>
            </a:rPr>
            <a:t>Mortality rate (%) </a:t>
          </a:r>
          <a:r>
            <a:rPr lang="en-GB" sz="1100">
              <a:solidFill>
                <a:schemeClr val="dk1"/>
              </a:solidFill>
              <a:effectLst/>
              <a:latin typeface="Montserrat" panose="00000500000000000000" pitchFamily="2" charset="0"/>
              <a:ea typeface="+mn-ea"/>
              <a:cs typeface="+mn-cs"/>
            </a:rPr>
            <a:t>(Calculated field)</a:t>
          </a:r>
          <a:endParaRPr lang="en-GB">
            <a:effectLst/>
            <a:latin typeface="Montserrat" panose="00000500000000000000" pitchFamily="2" charset="0"/>
          </a:endParaRPr>
        </a:p>
        <a:p>
          <a:pPr eaLnBrk="1" fontAlgn="auto" latinLnBrk="0" hangingPunct="1"/>
          <a:r>
            <a:rPr lang="en-US" sz="1100" b="0" i="0">
              <a:solidFill>
                <a:schemeClr val="dk1"/>
              </a:solidFill>
              <a:effectLst/>
              <a:latin typeface="Montserrat" panose="00000500000000000000" pitchFamily="2" charset="0"/>
              <a:ea typeface="+mn-ea"/>
              <a:cs typeface="+mn-cs"/>
            </a:rPr>
            <a:t>The</a:t>
          </a:r>
          <a:r>
            <a:rPr lang="en-US" sz="1100" b="0" i="0" baseline="0">
              <a:solidFill>
                <a:schemeClr val="dk1"/>
              </a:solidFill>
              <a:effectLst/>
              <a:latin typeface="Montserrat" panose="00000500000000000000" pitchFamily="2" charset="0"/>
              <a:ea typeface="+mn-ea"/>
              <a:cs typeface="+mn-cs"/>
            </a:rPr>
            <a:t> m</a:t>
          </a:r>
          <a:r>
            <a:rPr lang="en-US" sz="1100" b="0" i="0">
              <a:solidFill>
                <a:schemeClr val="dk1"/>
              </a:solidFill>
              <a:effectLst/>
              <a:latin typeface="Montserrat" panose="00000500000000000000" pitchFamily="2" charset="0"/>
              <a:ea typeface="+mn-ea"/>
              <a:cs typeface="+mn-cs"/>
            </a:rPr>
            <a:t>ortality rate</a:t>
          </a:r>
          <a:r>
            <a:rPr lang="en-US" sz="1100" b="0" i="0" baseline="0">
              <a:solidFill>
                <a:schemeClr val="dk1"/>
              </a:solidFill>
              <a:effectLst/>
              <a:latin typeface="Montserrat" panose="00000500000000000000" pitchFamily="2" charset="0"/>
              <a:ea typeface="+mn-ea"/>
              <a:cs typeface="+mn-cs"/>
            </a:rPr>
            <a:t> is</a:t>
          </a:r>
          <a:r>
            <a:rPr lang="en-US" sz="1100" b="0" i="0">
              <a:solidFill>
                <a:schemeClr val="dk1"/>
              </a:solidFill>
              <a:effectLst/>
              <a:latin typeface="Montserrat" panose="00000500000000000000" pitchFamily="2" charset="0"/>
              <a:ea typeface="+mn-ea"/>
              <a:cs typeface="+mn-cs"/>
            </a:rPr>
            <a:t> automatically calculated</a:t>
          </a:r>
          <a:r>
            <a:rPr lang="en-US" sz="1100" b="0" i="0" baseline="0">
              <a:solidFill>
                <a:schemeClr val="dk1"/>
              </a:solidFill>
              <a:effectLst/>
              <a:latin typeface="Montserrat" panose="00000500000000000000" pitchFamily="2" charset="0"/>
              <a:ea typeface="+mn-ea"/>
              <a:cs typeface="+mn-cs"/>
            </a:rPr>
            <a:t> as the (observed) mortality count as percentage of the stocking count as follows:</a:t>
          </a:r>
        </a:p>
        <a:p>
          <a:pPr eaLnBrk="1" fontAlgn="auto" latinLnBrk="0" hangingPunct="1"/>
          <a:endParaRPr lang="en-GB">
            <a:effectLst/>
            <a:latin typeface="Montserrat" panose="00000500000000000000" pitchFamily="2" charset="0"/>
          </a:endParaRPr>
        </a:p>
        <a:p>
          <a:pPr eaLnBrk="1" fontAlgn="auto" latinLnBrk="0" hangingPunct="1"/>
          <a:r>
            <a:rPr lang="en-US" sz="1100" b="0" i="1" baseline="0">
              <a:solidFill>
                <a:schemeClr val="dk1"/>
              </a:solidFill>
              <a:effectLst/>
              <a:latin typeface="Montserrat" panose="00000500000000000000" pitchFamily="2" charset="0"/>
              <a:ea typeface="+mn-ea"/>
              <a:cs typeface="+mn-cs"/>
            </a:rPr>
            <a:t>	mortality rate (%) = (mortality count (# animals) / stocking count (# animals)) * 100</a:t>
          </a:r>
          <a:endParaRPr lang="en-GB">
            <a:effectLst/>
            <a:latin typeface="Montserrat" panose="00000500000000000000" pitchFamily="2" charset="0"/>
          </a:endParaRPr>
        </a:p>
        <a:p>
          <a:pPr eaLnBrk="1" fontAlgn="auto" latinLnBrk="0" hangingPunct="1"/>
          <a:endParaRPr lang="en-GB" sz="1100" b="1" i="0" u="none" strike="noStrike">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b="1" i="0" u="none" strike="noStrike">
              <a:solidFill>
                <a:schemeClr val="dk1"/>
              </a:solidFill>
              <a:effectLst/>
              <a:latin typeface="Montserrat" panose="00000500000000000000" pitchFamily="2" charset="0"/>
              <a:ea typeface="+mn-ea"/>
              <a:cs typeface="+mn-cs"/>
            </a:rPr>
            <a:t>Real percentage' mortality (%)</a:t>
          </a:r>
          <a:r>
            <a:rPr lang="en-GB">
              <a:latin typeface="Montserrat" panose="00000500000000000000" pitchFamily="2" charset="0"/>
            </a:rPr>
            <a:t> </a:t>
          </a:r>
          <a:r>
            <a:rPr lang="en-GB" sz="1100">
              <a:solidFill>
                <a:schemeClr val="dk1"/>
              </a:solidFill>
              <a:effectLst/>
              <a:latin typeface="Montserrat" panose="00000500000000000000" pitchFamily="2" charset="0"/>
              <a:ea typeface="+mn-ea"/>
              <a:cs typeface="+mn-cs"/>
            </a:rPr>
            <a:t>(Calculated field)</a:t>
          </a:r>
          <a:endParaRPr lang="en-GB">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GB">
              <a:latin typeface="Montserrat" panose="00000500000000000000" pitchFamily="2" charset="0"/>
            </a:rPr>
            <a:t>The real percentage mortality is automatically calculated as the difference between </a:t>
          </a:r>
          <a:r>
            <a:rPr lang="en-US" sz="1100" b="0" i="0" baseline="0">
              <a:solidFill>
                <a:schemeClr val="dk1"/>
              </a:solidFill>
              <a:effectLst/>
              <a:latin typeface="Montserrat" panose="00000500000000000000" pitchFamily="2" charset="0"/>
              <a:ea typeface="+mn-ea"/>
              <a:cs typeface="+mn-cs"/>
            </a:rPr>
            <a:t>stocking count and standing stock at the beginning of the year</a:t>
          </a:r>
          <a:r>
            <a:rPr lang="en-GB">
              <a:latin typeface="Montserrat" panose="00000500000000000000" pitchFamily="2" charset="0"/>
            </a:rPr>
            <a:t> and the</a:t>
          </a:r>
          <a:r>
            <a:rPr lang="en-GB" baseline="0">
              <a:latin typeface="Montserrat" panose="00000500000000000000" pitchFamily="2" charset="0"/>
            </a:rPr>
            <a:t> harvest count </a:t>
          </a:r>
          <a:r>
            <a:rPr lang="en-GB">
              <a:latin typeface="Montserrat" panose="00000500000000000000" pitchFamily="2" charset="0"/>
            </a:rPr>
            <a:t>and standing stock at the end of the year divided by the </a:t>
          </a:r>
          <a:r>
            <a:rPr lang="en-US" sz="1100" b="0" i="0" baseline="0">
              <a:solidFill>
                <a:schemeClr val="dk1"/>
              </a:solidFill>
              <a:effectLst/>
              <a:latin typeface="Montserrat" panose="00000500000000000000" pitchFamily="2" charset="0"/>
              <a:ea typeface="+mn-ea"/>
              <a:cs typeface="+mn-cs"/>
            </a:rPr>
            <a:t>stocking count as follows:</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0" i="1" baseline="0">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1" baseline="0">
              <a:solidFill>
                <a:schemeClr val="dk1"/>
              </a:solidFill>
              <a:effectLst/>
              <a:latin typeface="Montserrat" panose="00000500000000000000" pitchFamily="2" charset="0"/>
              <a:ea typeface="+mn-ea"/>
              <a:cs typeface="+mn-cs"/>
            </a:rPr>
            <a:t>	real percentage mortality (%) = ((</a:t>
          </a:r>
          <a:r>
            <a:rPr lang="en-GB" sz="1100" b="0" i="1" baseline="0">
              <a:solidFill>
                <a:schemeClr val="dk1"/>
              </a:solidFill>
              <a:effectLst/>
              <a:latin typeface="Montserrat" panose="00000500000000000000" pitchFamily="2" charset="0"/>
              <a:ea typeface="+mn-ea"/>
              <a:cs typeface="+mn-cs"/>
            </a:rPr>
            <a:t>stocking count (# animals) -</a:t>
          </a:r>
          <a:r>
            <a:rPr lang="en-GB" sz="1100" b="0" i="1">
              <a:solidFill>
                <a:schemeClr val="dk1"/>
              </a:solidFill>
              <a:effectLst/>
              <a:latin typeface="Montserrat" panose="00000500000000000000" pitchFamily="2" charset="0"/>
              <a:ea typeface="+mn-ea"/>
              <a:cs typeface="+mn-cs"/>
            </a:rPr>
            <a:t> harvest</a:t>
          </a:r>
          <a:r>
            <a:rPr lang="en-GB" sz="1100" b="0" i="1" baseline="0">
              <a:solidFill>
                <a:schemeClr val="dk1"/>
              </a:solidFill>
              <a:effectLst/>
              <a:latin typeface="Montserrat" panose="00000500000000000000" pitchFamily="2" charset="0"/>
              <a:ea typeface="+mn-ea"/>
              <a:cs typeface="+mn-cs"/>
            </a:rPr>
            <a:t> count (# animals)) / </a:t>
          </a:r>
          <a:r>
            <a:rPr lang="en-US" sz="1100" b="0" i="1" baseline="0">
              <a:solidFill>
                <a:schemeClr val="dk1"/>
              </a:solidFill>
              <a:effectLst/>
              <a:latin typeface="Montserrat" panose="00000500000000000000" pitchFamily="2" charset="0"/>
              <a:ea typeface="+mn-ea"/>
              <a:cs typeface="+mn-cs"/>
            </a:rPr>
            <a:t>(</a:t>
          </a:r>
          <a:r>
            <a:rPr lang="en-GB" sz="1100" b="0" i="1" baseline="0">
              <a:solidFill>
                <a:schemeClr val="dk1"/>
              </a:solidFill>
              <a:effectLst/>
              <a:latin typeface="Montserrat" panose="00000500000000000000" pitchFamily="2" charset="0"/>
              <a:ea typeface="+mn-ea"/>
              <a:cs typeface="+mn-cs"/>
            </a:rPr>
            <a:t>stocking count (# animals)) * 100</a:t>
          </a:r>
          <a:endParaRPr lang="en-US" sz="1100" b="0" i="1" baseline="0">
            <a:solidFill>
              <a:schemeClr val="dk1"/>
            </a:solidFill>
            <a:effectLst/>
            <a:latin typeface="Montserrat" panose="00000500000000000000" pitchFamily="2" charset="0"/>
            <a:ea typeface="+mn-ea"/>
            <a:cs typeface="+mn-cs"/>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10</xdr:col>
      <xdr:colOff>615951</xdr:colOff>
      <xdr:row>2</xdr:row>
      <xdr:rowOff>11113</xdr:rowOff>
    </xdr:from>
    <xdr:to>
      <xdr:col>22</xdr:col>
      <xdr:colOff>615950</xdr:colOff>
      <xdr:row>35</xdr:row>
      <xdr:rowOff>0</xdr:rowOff>
    </xdr:to>
    <xdr:sp macro="" textlink="">
      <xdr:nvSpPr>
        <xdr:cNvPr id="3" name="TextBox 1">
          <a:extLst>
            <a:ext uri="{FF2B5EF4-FFF2-40B4-BE49-F238E27FC236}">
              <a16:creationId xmlns:a16="http://schemas.microsoft.com/office/drawing/2014/main" id="{6330B982-B278-4295-A471-044BEE699D2D}"/>
            </a:ext>
          </a:extLst>
        </xdr:cNvPr>
        <xdr:cNvSpPr txBox="1"/>
      </xdr:nvSpPr>
      <xdr:spPr>
        <a:xfrm>
          <a:off x="12676982" y="439738"/>
          <a:ext cx="7572374" cy="7263606"/>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i="0">
              <a:solidFill>
                <a:schemeClr val="dk1"/>
              </a:solidFill>
              <a:effectLst/>
              <a:latin typeface="Montserrat" panose="00000500000000000000" pitchFamily="2" charset="0"/>
              <a:ea typeface="+mn-ea"/>
              <a:cs typeface="+mn-cs"/>
            </a:rPr>
            <a:t>USER GUIDANCE</a:t>
          </a:r>
          <a:endParaRPr lang="en-US" sz="1100" b="0" i="0" baseline="0">
            <a:solidFill>
              <a:sysClr val="windowText" lastClr="000000"/>
            </a:solidFill>
            <a:effectLst/>
            <a:latin typeface="Montserrat" panose="00000500000000000000" pitchFamily="2" charset="0"/>
            <a:ea typeface="+mn-ea"/>
            <a:cs typeface="+mn-cs"/>
          </a:endParaRPr>
        </a:p>
        <a:p>
          <a:r>
            <a:rPr lang="en-US" sz="1100" b="0" i="0">
              <a:solidFill>
                <a:schemeClr val="dk1"/>
              </a:solidFill>
              <a:effectLst/>
              <a:latin typeface="Montserrat" panose="00000500000000000000" pitchFamily="2" charset="0"/>
              <a:ea typeface="+mn-ea"/>
              <a:cs typeface="+mn-cs"/>
            </a:rPr>
            <a:t>Report</a:t>
          </a:r>
          <a:r>
            <a:rPr lang="en-US" sz="1100" b="0" i="0" baseline="0">
              <a:solidFill>
                <a:schemeClr val="dk1"/>
              </a:solidFill>
              <a:effectLst/>
              <a:latin typeface="Montserrat" panose="00000500000000000000" pitchFamily="2" charset="0"/>
              <a:ea typeface="+mn-ea"/>
              <a:cs typeface="+mn-cs"/>
            </a:rPr>
            <a:t> in</a:t>
          </a:r>
          <a:r>
            <a:rPr lang="en-US" sz="1100" b="0" i="0">
              <a:solidFill>
                <a:schemeClr val="dk1"/>
              </a:solidFill>
              <a:effectLst/>
              <a:latin typeface="Montserrat" panose="00000500000000000000" pitchFamily="2" charset="0"/>
              <a:ea typeface="+mn-ea"/>
              <a:cs typeface="+mn-cs"/>
            </a:rPr>
            <a:t> table 1 the mortality count, stocking count and harvest</a:t>
          </a:r>
          <a:r>
            <a:rPr lang="en-US" sz="1100" b="0" i="0" baseline="0">
              <a:solidFill>
                <a:schemeClr val="dk1"/>
              </a:solidFill>
              <a:effectLst/>
              <a:latin typeface="Montserrat" panose="00000500000000000000" pitchFamily="2" charset="0"/>
              <a:ea typeface="+mn-ea"/>
              <a:cs typeface="+mn-cs"/>
            </a:rPr>
            <a:t> (retrieval) count of each cleaner fish species used during the production at each </a:t>
          </a:r>
          <a:r>
            <a:rPr lang="en-US" sz="1100" b="0" i="0">
              <a:solidFill>
                <a:schemeClr val="dk1"/>
              </a:solidFill>
              <a:effectLst/>
              <a:latin typeface="Montserrat" panose="00000500000000000000" pitchFamily="2" charset="0"/>
              <a:ea typeface="+mn-ea"/>
              <a:cs typeface="+mn-cs"/>
            </a:rPr>
            <a:t>ASC</a:t>
          </a:r>
          <a:r>
            <a:rPr lang="en-US" sz="1100" b="0" i="0" baseline="0">
              <a:solidFill>
                <a:schemeClr val="dk1"/>
              </a:solidFill>
              <a:effectLst/>
              <a:latin typeface="Montserrat" panose="00000500000000000000" pitchFamily="2" charset="0"/>
              <a:ea typeface="+mn-ea"/>
              <a:cs typeface="+mn-cs"/>
            </a:rPr>
            <a:t> </a:t>
          </a:r>
          <a:r>
            <a:rPr lang="en-US" sz="1100" b="0" i="1" baseline="0">
              <a:solidFill>
                <a:schemeClr val="dk1"/>
              </a:solidFill>
              <a:effectLst/>
              <a:latin typeface="Montserrat" panose="00000500000000000000" pitchFamily="2" charset="0"/>
              <a:ea typeface="+mn-ea"/>
              <a:cs typeface="+mn-cs"/>
            </a:rPr>
            <a:t>certified</a:t>
          </a:r>
          <a:r>
            <a:rPr lang="en-US" sz="1100" b="0" i="0" baseline="0">
              <a:solidFill>
                <a:schemeClr val="dk1"/>
              </a:solidFill>
              <a:effectLst/>
              <a:latin typeface="Montserrat" panose="00000500000000000000" pitchFamily="2" charset="0"/>
              <a:ea typeface="+mn-ea"/>
              <a:cs typeface="+mn-cs"/>
            </a:rPr>
            <a:t> and </a:t>
          </a:r>
          <a:r>
            <a:rPr lang="en-US" sz="1100" b="0" i="1" baseline="0">
              <a:solidFill>
                <a:schemeClr val="dk1"/>
              </a:solidFill>
              <a:effectLst/>
              <a:latin typeface="Montserrat" panose="00000500000000000000" pitchFamily="2" charset="0"/>
              <a:ea typeface="+mn-ea"/>
              <a:cs typeface="+mn-cs"/>
            </a:rPr>
            <a:t>suspended</a:t>
          </a:r>
          <a:r>
            <a:rPr lang="en-US" sz="1100" b="0" i="0" baseline="0">
              <a:solidFill>
                <a:schemeClr val="dk1"/>
              </a:solidFill>
              <a:effectLst/>
              <a:latin typeface="Montserrat" panose="00000500000000000000" pitchFamily="2" charset="0"/>
              <a:ea typeface="+mn-ea"/>
              <a:cs typeface="+mn-cs"/>
            </a:rPr>
            <a:t> farm site.</a:t>
          </a:r>
          <a:r>
            <a:rPr lang="en-GB" sz="1100" b="0" i="0" baseline="0">
              <a:solidFill>
                <a:schemeClr val="dk1"/>
              </a:solidFill>
              <a:effectLst/>
              <a:latin typeface="Montserrat" panose="00000500000000000000" pitchFamily="2" charset="0"/>
              <a:ea typeface="+mn-ea"/>
              <a:cs typeface="+mn-cs"/>
            </a:rPr>
            <a:t> </a:t>
          </a:r>
          <a:r>
            <a:rPr lang="en-US" sz="1100" b="0" i="0">
              <a:solidFill>
                <a:schemeClr val="dk1"/>
              </a:solidFill>
              <a:effectLst/>
              <a:latin typeface="Montserrat" panose="00000500000000000000" pitchFamily="2" charset="0"/>
              <a:ea typeface="+mn-ea"/>
              <a:cs typeface="+mn-cs"/>
            </a:rPr>
            <a:t>In case no cleaner fish are used, no reporting is required in table 1. </a:t>
          </a:r>
          <a:endParaRPr lang="en-US" sz="1100" b="0" i="0" baseline="0">
            <a:solidFill>
              <a:schemeClr val="dk1"/>
            </a:solidFill>
            <a:effectLst/>
            <a:latin typeface="Montserrat" panose="00000500000000000000" pitchFamily="2" charset="0"/>
            <a:ea typeface="+mn-ea"/>
            <a:cs typeface="+mn-cs"/>
          </a:endParaRPr>
        </a:p>
        <a:p>
          <a:endParaRPr lang="en-US" sz="1100" b="0" i="0"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u="sng">
              <a:solidFill>
                <a:sysClr val="windowText" lastClr="000000"/>
              </a:solidFill>
              <a:effectLst/>
              <a:latin typeface="Montserrat" panose="00000500000000000000" pitchFamily="2" charset="0"/>
              <a:ea typeface="+mn-ea"/>
              <a:cs typeface="+mn-cs"/>
            </a:rPr>
            <a:t>TABLE 1. Mortality reporting - Cleaner fish</a:t>
          </a:r>
          <a:endParaRPr lang="en-US" sz="1100" b="1" i="0" u="none">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u="none">
              <a:solidFill>
                <a:sysClr val="windowText" lastClr="000000"/>
              </a:solidFill>
              <a:effectLst/>
              <a:latin typeface="Montserrat" panose="00000500000000000000" pitchFamily="2" charset="0"/>
              <a:ea typeface="+mn-ea"/>
              <a:cs typeface="+mn-cs"/>
            </a:rPr>
            <a:t>Cycle ID (select)</a:t>
          </a:r>
          <a:r>
            <a:rPr lang="en-US" sz="1100" b="0" i="0" u="none">
              <a:solidFill>
                <a:sysClr val="windowText" lastClr="000000"/>
              </a:solidFill>
              <a:effectLst/>
              <a:latin typeface="Montserrat" panose="00000500000000000000" pitchFamily="2" charset="0"/>
              <a:ea typeface="+mn-ea"/>
              <a:cs typeface="+mn-cs"/>
            </a:rPr>
            <a:t> (Voluntary field)</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u="none">
              <a:solidFill>
                <a:sysClr val="windowText" lastClr="000000"/>
              </a:solidFill>
              <a:effectLst/>
              <a:latin typeface="Montserrat" panose="00000500000000000000" pitchFamily="2" charset="0"/>
              <a:ea typeface="+mn-ea"/>
              <a:cs typeface="+mn-cs"/>
            </a:rPr>
            <a:t>Please select the cycle ID cleaner fish mortality are reported for using the dropdown menu. The selection options are based on the cycle IDs provided in the 'Site and production details' tab.</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1" i="0" u="none">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u="none">
              <a:solidFill>
                <a:sysClr val="windowText" lastClr="000000"/>
              </a:solidFill>
              <a:effectLst/>
              <a:latin typeface="Montserrat" panose="00000500000000000000" pitchFamily="2" charset="0"/>
              <a:ea typeface="+mn-ea"/>
              <a:cs typeface="+mn-cs"/>
            </a:rPr>
            <a:t>Cleaner fish species (Latin name) </a:t>
          </a:r>
          <a:r>
            <a:rPr lang="en-US" sz="1100" b="0" i="0" u="none">
              <a:solidFill>
                <a:sysClr val="windowText" lastClr="000000"/>
              </a:solidFill>
              <a:effectLst/>
              <a:latin typeface="Montserrat" panose="00000500000000000000" pitchFamily="2" charset="0"/>
              <a:ea typeface="+mn-ea"/>
              <a:cs typeface="+mn-cs"/>
            </a:rPr>
            <a:t>(Mandatory field)</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u="none">
              <a:solidFill>
                <a:sysClr val="windowText" lastClr="000000"/>
              </a:solidFill>
              <a:effectLst/>
              <a:latin typeface="Montserrat" panose="00000500000000000000" pitchFamily="2" charset="0"/>
              <a:ea typeface="+mn-ea"/>
              <a:cs typeface="+mn-cs"/>
            </a:rPr>
            <a:t>Select the cleaner fish species using the dropdown menu. If the cleaner fish species is not a listed option, please type out the latin name of the cleaner fish species used.</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1"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Stocking count (# animals)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Indicate the number of stocked cleaner fish.</a:t>
          </a:r>
        </a:p>
        <a:p>
          <a:pPr eaLnBrk="1" fontAlgn="auto" latinLnBrk="0" hangingPunct="1"/>
          <a:endParaRPr lang="en-US" sz="1100" b="1"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Harvest count (# animals)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Indicate the number of live harvested (retrieved) cleaner fish.</a:t>
          </a:r>
        </a:p>
        <a:p>
          <a:pPr eaLnBrk="1" fontAlgn="auto" latinLnBrk="0" hangingPunct="1"/>
          <a:endParaRPr lang="en-US" sz="1100" b="0"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Mortality count (# animals) </a:t>
          </a:r>
          <a:r>
            <a:rPr lang="en-US" sz="1100" b="0" i="0" u="none" baseline="0">
              <a:solidFill>
                <a:sysClr val="windowText" lastClr="000000"/>
              </a:solidFill>
              <a:effectLst/>
              <a:latin typeface="Montserrat" panose="00000500000000000000" pitchFamily="2" charset="0"/>
              <a:ea typeface="+mn-ea"/>
              <a:cs typeface="+mn-cs"/>
            </a:rPr>
            <a:t>(Mandatory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Indicate the number of dead cleaner fish. </a:t>
          </a:r>
        </a:p>
        <a:p>
          <a:pPr eaLnBrk="1" fontAlgn="auto" latinLnBrk="0" hangingPunct="1"/>
          <a:endParaRPr lang="en-US" sz="1100" b="1" i="0" u="none"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a:solidFill>
                <a:schemeClr val="dk1"/>
              </a:solidFill>
              <a:effectLst/>
              <a:latin typeface="Montserrat" panose="00000500000000000000" pitchFamily="2" charset="0"/>
              <a:ea typeface="+mn-ea"/>
              <a:cs typeface="+mn-cs"/>
            </a:rPr>
            <a:t>Mortality rate (%) </a:t>
          </a:r>
          <a:r>
            <a:rPr lang="en-GB" sz="1100">
              <a:solidFill>
                <a:schemeClr val="dk1"/>
              </a:solidFill>
              <a:effectLst/>
              <a:latin typeface="Montserrat" panose="00000500000000000000" pitchFamily="2" charset="0"/>
              <a:ea typeface="+mn-ea"/>
              <a:cs typeface="+mn-cs"/>
            </a:rPr>
            <a:t>(Calculated field)</a:t>
          </a:r>
          <a:endParaRPr lang="en-GB">
            <a:effectLst/>
            <a:latin typeface="Montserrat" panose="00000500000000000000" pitchFamily="2" charset="0"/>
          </a:endParaRPr>
        </a:p>
        <a:p>
          <a:pPr eaLnBrk="1" fontAlgn="auto" latinLnBrk="0" hangingPunct="1"/>
          <a:r>
            <a:rPr lang="en-US" sz="1100" b="0" i="0">
              <a:solidFill>
                <a:schemeClr val="dk1"/>
              </a:solidFill>
              <a:effectLst/>
              <a:latin typeface="Montserrat" panose="00000500000000000000" pitchFamily="2" charset="0"/>
              <a:ea typeface="+mn-ea"/>
              <a:cs typeface="+mn-cs"/>
            </a:rPr>
            <a:t>The</a:t>
          </a:r>
          <a:r>
            <a:rPr lang="en-US" sz="1100" b="0" i="0" baseline="0">
              <a:solidFill>
                <a:schemeClr val="dk1"/>
              </a:solidFill>
              <a:effectLst/>
              <a:latin typeface="Montserrat" panose="00000500000000000000" pitchFamily="2" charset="0"/>
              <a:ea typeface="+mn-ea"/>
              <a:cs typeface="+mn-cs"/>
            </a:rPr>
            <a:t> m</a:t>
          </a:r>
          <a:r>
            <a:rPr lang="en-US" sz="1100" b="0" i="0">
              <a:solidFill>
                <a:schemeClr val="dk1"/>
              </a:solidFill>
              <a:effectLst/>
              <a:latin typeface="Montserrat" panose="00000500000000000000" pitchFamily="2" charset="0"/>
              <a:ea typeface="+mn-ea"/>
              <a:cs typeface="+mn-cs"/>
            </a:rPr>
            <a:t>ortality rate</a:t>
          </a:r>
          <a:r>
            <a:rPr lang="en-US" sz="1100" b="0" i="0" baseline="0">
              <a:solidFill>
                <a:schemeClr val="dk1"/>
              </a:solidFill>
              <a:effectLst/>
              <a:latin typeface="Montserrat" panose="00000500000000000000" pitchFamily="2" charset="0"/>
              <a:ea typeface="+mn-ea"/>
              <a:cs typeface="+mn-cs"/>
            </a:rPr>
            <a:t> is automatically</a:t>
          </a:r>
          <a:r>
            <a:rPr lang="en-US" sz="1100" b="0" i="0">
              <a:solidFill>
                <a:schemeClr val="dk1"/>
              </a:solidFill>
              <a:effectLst/>
              <a:latin typeface="Montserrat" panose="00000500000000000000" pitchFamily="2" charset="0"/>
              <a:ea typeface="+mn-ea"/>
              <a:cs typeface="+mn-cs"/>
            </a:rPr>
            <a:t> calculated</a:t>
          </a:r>
          <a:r>
            <a:rPr lang="en-US" sz="1100" b="0" i="0" baseline="0">
              <a:solidFill>
                <a:schemeClr val="dk1"/>
              </a:solidFill>
              <a:effectLst/>
              <a:latin typeface="Montserrat" panose="00000500000000000000" pitchFamily="2" charset="0"/>
              <a:ea typeface="+mn-ea"/>
              <a:cs typeface="+mn-cs"/>
            </a:rPr>
            <a:t> as the (observed) mortality count as percentage of the stocking count as follows:</a:t>
          </a:r>
        </a:p>
        <a:p>
          <a:pPr eaLnBrk="1" fontAlgn="auto" latinLnBrk="0" hangingPunct="1"/>
          <a:endParaRPr lang="en-GB">
            <a:effectLst/>
            <a:latin typeface="Montserrat" panose="00000500000000000000" pitchFamily="2" charset="0"/>
          </a:endParaRPr>
        </a:p>
        <a:p>
          <a:pPr eaLnBrk="1" fontAlgn="auto" latinLnBrk="0" hangingPunct="1"/>
          <a:r>
            <a:rPr lang="en-US" sz="1100" b="0" i="1" baseline="0">
              <a:solidFill>
                <a:schemeClr val="dk1"/>
              </a:solidFill>
              <a:effectLst/>
              <a:latin typeface="Montserrat" panose="00000500000000000000" pitchFamily="2" charset="0"/>
              <a:ea typeface="+mn-ea"/>
              <a:cs typeface="+mn-cs"/>
            </a:rPr>
            <a:t>	mortality rate (%) = (mortality count (# animals) / stocking count (# animals)) * 100</a:t>
          </a:r>
          <a:endParaRPr lang="en-GB">
            <a:effectLst/>
            <a:latin typeface="Montserrat" panose="00000500000000000000" pitchFamily="2" charset="0"/>
          </a:endParaRPr>
        </a:p>
        <a:p>
          <a:pPr eaLnBrk="1" fontAlgn="auto" latinLnBrk="0" hangingPunct="1"/>
          <a:endParaRPr lang="en-GB" sz="1100" b="1" i="0" u="none" strike="noStrike">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b="1" i="0" u="none" strike="noStrike">
              <a:solidFill>
                <a:schemeClr val="dk1"/>
              </a:solidFill>
              <a:effectLst/>
              <a:latin typeface="Montserrat" panose="00000500000000000000" pitchFamily="2" charset="0"/>
              <a:ea typeface="+mn-ea"/>
              <a:cs typeface="+mn-cs"/>
            </a:rPr>
            <a:t>Real percentage mortality (%)</a:t>
          </a:r>
          <a:r>
            <a:rPr lang="en-GB">
              <a:latin typeface="Montserrat" panose="00000500000000000000" pitchFamily="2" charset="0"/>
            </a:rPr>
            <a:t> </a:t>
          </a:r>
          <a:r>
            <a:rPr lang="en-GB" sz="1100">
              <a:solidFill>
                <a:schemeClr val="dk1"/>
              </a:solidFill>
              <a:effectLst/>
              <a:latin typeface="Montserrat" panose="00000500000000000000" pitchFamily="2" charset="0"/>
              <a:ea typeface="+mn-ea"/>
              <a:cs typeface="+mn-cs"/>
            </a:rPr>
            <a:t>(Calculated field)</a:t>
          </a:r>
          <a:endParaRPr lang="en-GB">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GB">
              <a:latin typeface="Montserrat" panose="00000500000000000000" pitchFamily="2" charset="0"/>
            </a:rPr>
            <a:t>The real percentage mortality is automatically calculated as the difference between </a:t>
          </a:r>
          <a:r>
            <a:rPr lang="en-US" sz="1100" b="0" i="0" baseline="0">
              <a:solidFill>
                <a:schemeClr val="dk1"/>
              </a:solidFill>
              <a:effectLst/>
              <a:latin typeface="Montserrat" panose="00000500000000000000" pitchFamily="2" charset="0"/>
              <a:ea typeface="+mn-ea"/>
              <a:cs typeface="+mn-cs"/>
            </a:rPr>
            <a:t>stocking count</a:t>
          </a:r>
          <a:r>
            <a:rPr lang="en-GB">
              <a:latin typeface="Montserrat" panose="00000500000000000000" pitchFamily="2" charset="0"/>
            </a:rPr>
            <a:t> and the</a:t>
          </a:r>
          <a:r>
            <a:rPr lang="en-GB" baseline="0">
              <a:latin typeface="Montserrat" panose="00000500000000000000" pitchFamily="2" charset="0"/>
            </a:rPr>
            <a:t> harvest (retrieval) count </a:t>
          </a:r>
          <a:r>
            <a:rPr lang="en-GB">
              <a:latin typeface="Montserrat" panose="00000500000000000000" pitchFamily="2" charset="0"/>
            </a:rPr>
            <a:t>divided by the </a:t>
          </a:r>
          <a:r>
            <a:rPr lang="en-US" sz="1100" b="0" i="0" baseline="0">
              <a:solidFill>
                <a:schemeClr val="dk1"/>
              </a:solidFill>
              <a:effectLst/>
              <a:latin typeface="Montserrat" panose="00000500000000000000" pitchFamily="2" charset="0"/>
              <a:ea typeface="+mn-ea"/>
              <a:cs typeface="+mn-cs"/>
            </a:rPr>
            <a:t>stocking count as follows:</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0" i="0" baseline="0">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1" baseline="0">
              <a:solidFill>
                <a:schemeClr val="dk1"/>
              </a:solidFill>
              <a:effectLst/>
              <a:latin typeface="Montserrat" panose="00000500000000000000" pitchFamily="2" charset="0"/>
              <a:ea typeface="+mn-ea"/>
              <a:cs typeface="+mn-cs"/>
            </a:rPr>
            <a:t>	real percentage mortality (%) = (</a:t>
          </a:r>
          <a:r>
            <a:rPr lang="en-GB" sz="1100" b="0" i="1" baseline="0">
              <a:solidFill>
                <a:schemeClr val="dk1"/>
              </a:solidFill>
              <a:effectLst/>
              <a:latin typeface="Montserrat" panose="00000500000000000000" pitchFamily="2" charset="0"/>
              <a:ea typeface="+mn-ea"/>
              <a:cs typeface="+mn-cs"/>
            </a:rPr>
            <a:t>stocking count (# animals) - </a:t>
          </a:r>
          <a:r>
            <a:rPr lang="en-GB" sz="1100" b="0" i="1">
              <a:solidFill>
                <a:schemeClr val="dk1"/>
              </a:solidFill>
              <a:effectLst/>
              <a:latin typeface="Montserrat" panose="00000500000000000000" pitchFamily="2" charset="0"/>
              <a:ea typeface="+mn-ea"/>
              <a:cs typeface="+mn-cs"/>
            </a:rPr>
            <a:t>harvest </a:t>
          </a:r>
          <a:r>
            <a:rPr lang="en-GB" sz="1100" b="0" i="1" baseline="0">
              <a:solidFill>
                <a:schemeClr val="dk1"/>
              </a:solidFill>
              <a:effectLst/>
              <a:latin typeface="Montserrat" panose="00000500000000000000" pitchFamily="2" charset="0"/>
              <a:ea typeface="+mn-ea"/>
              <a:cs typeface="+mn-cs"/>
            </a:rPr>
            <a:t>count (# animals)) / stocking count (# animals) * 100</a:t>
          </a:r>
          <a:endParaRPr lang="en-US" sz="1100" b="0" i="1" baseline="0">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lang="en-US" sz="1100" b="0" i="0" baseline="0">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chemeClr val="dk1"/>
              </a:solidFill>
              <a:effectLst/>
              <a:latin typeface="Montserrat" panose="00000500000000000000" pitchFamily="2" charset="0"/>
              <a:ea typeface="+mn-ea"/>
              <a:cs typeface="+mn-cs"/>
            </a:rPr>
            <a:t>Notes </a:t>
          </a:r>
          <a:r>
            <a:rPr lang="en-US" sz="1100" b="0" i="0" baseline="0">
              <a:solidFill>
                <a:schemeClr val="dk1"/>
              </a:solidFill>
              <a:effectLst/>
              <a:latin typeface="Montserrat" panose="00000500000000000000" pitchFamily="2" charset="0"/>
              <a:ea typeface="+mn-ea"/>
              <a:cs typeface="+mn-cs"/>
            </a:rPr>
            <a:t>(Voluntary field)</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chemeClr val="dk1"/>
              </a:solidFill>
              <a:effectLst/>
              <a:latin typeface="Montserrat" panose="00000500000000000000" pitchFamily="2" charset="0"/>
              <a:ea typeface="+mn-ea"/>
              <a:cs typeface="+mn-cs"/>
            </a:rPr>
            <a:t>This field may be used to provide any other relevant information or clarifications.</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24</xdr:col>
      <xdr:colOff>1</xdr:colOff>
      <xdr:row>2</xdr:row>
      <xdr:rowOff>0</xdr:rowOff>
    </xdr:from>
    <xdr:to>
      <xdr:col>36</xdr:col>
      <xdr:colOff>12247</xdr:colOff>
      <xdr:row>63</xdr:row>
      <xdr:rowOff>0</xdr:rowOff>
    </xdr:to>
    <xdr:sp macro="" textlink="">
      <xdr:nvSpPr>
        <xdr:cNvPr id="2" name="TextBox 1">
          <a:extLst>
            <a:ext uri="{FF2B5EF4-FFF2-40B4-BE49-F238E27FC236}">
              <a16:creationId xmlns:a16="http://schemas.microsoft.com/office/drawing/2014/main" id="{3DA9DC1C-B49C-44A3-B422-D758D7669C5B}"/>
            </a:ext>
          </a:extLst>
        </xdr:cNvPr>
        <xdr:cNvSpPr txBox="1"/>
      </xdr:nvSpPr>
      <xdr:spPr>
        <a:xfrm>
          <a:off x="23431501" y="408214"/>
          <a:ext cx="7523389" cy="12641036"/>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b="1" u="none">
              <a:latin typeface="Montserrat" pitchFamily="2" charset="0"/>
            </a:rPr>
            <a:t>USER GUIDANCE</a:t>
          </a:r>
        </a:p>
        <a:p>
          <a:r>
            <a:rPr lang="en-US" sz="1100" b="0" i="0">
              <a:solidFill>
                <a:schemeClr val="dk1"/>
              </a:solidFill>
              <a:effectLst/>
              <a:latin typeface="Montserrat" pitchFamily="2" charset="0"/>
              <a:ea typeface="+mn-ea"/>
              <a:cs typeface="+mn-cs"/>
            </a:rPr>
            <a:t>Report in table 1 for each</a:t>
          </a:r>
          <a:r>
            <a:rPr lang="en-GB" sz="1100" b="0" baseline="0">
              <a:solidFill>
                <a:schemeClr val="dk1"/>
              </a:solidFill>
              <a:effectLst/>
              <a:latin typeface="Montserrat" pitchFamily="2" charset="0"/>
              <a:ea typeface="+mn-ea"/>
              <a:cs typeface="+mn-cs"/>
            </a:rPr>
            <a:t> treatment the product and treatment details</a:t>
          </a:r>
          <a:r>
            <a:rPr lang="en-US" sz="1100" b="0" i="0" baseline="0">
              <a:solidFill>
                <a:schemeClr val="dk1"/>
              </a:solidFill>
              <a:effectLst/>
              <a:latin typeface="Montserrat" pitchFamily="2" charset="0"/>
              <a:ea typeface="+mn-ea"/>
              <a:cs typeface="+mn-cs"/>
            </a:rPr>
            <a:t> at the </a:t>
          </a:r>
          <a:r>
            <a:rPr lang="en-US" sz="1100" b="0" i="0">
              <a:solidFill>
                <a:schemeClr val="dk1"/>
              </a:solidFill>
              <a:effectLst/>
              <a:latin typeface="Montserrat" pitchFamily="2" charset="0"/>
              <a:ea typeface="+mn-ea"/>
              <a:cs typeface="+mn-cs"/>
            </a:rPr>
            <a:t>ASC</a:t>
          </a:r>
          <a:r>
            <a:rPr lang="en-US" sz="1100" b="0" i="0" baseline="0">
              <a:solidFill>
                <a:schemeClr val="dk1"/>
              </a:solidFill>
              <a:effectLst/>
              <a:latin typeface="Montserrat" pitchFamily="2" charset="0"/>
              <a:ea typeface="+mn-ea"/>
              <a:cs typeface="+mn-cs"/>
            </a:rPr>
            <a:t> </a:t>
          </a:r>
          <a:r>
            <a:rPr lang="en-US" sz="1100" b="0" i="1" baseline="0">
              <a:solidFill>
                <a:schemeClr val="dk1"/>
              </a:solidFill>
              <a:effectLst/>
              <a:latin typeface="Montserrat" pitchFamily="2" charset="0"/>
              <a:ea typeface="+mn-ea"/>
              <a:cs typeface="+mn-cs"/>
            </a:rPr>
            <a:t>certified</a:t>
          </a:r>
          <a:r>
            <a:rPr lang="en-US" sz="1100" b="0" i="0" baseline="0">
              <a:solidFill>
                <a:schemeClr val="dk1"/>
              </a:solidFill>
              <a:effectLst/>
              <a:latin typeface="Montserrat" pitchFamily="2" charset="0"/>
              <a:ea typeface="+mn-ea"/>
              <a:cs typeface="+mn-cs"/>
            </a:rPr>
            <a:t> or </a:t>
          </a:r>
          <a:r>
            <a:rPr lang="en-US" sz="1100" b="0" i="1" baseline="0">
              <a:solidFill>
                <a:schemeClr val="dk1"/>
              </a:solidFill>
              <a:effectLst/>
              <a:latin typeface="Montserrat" pitchFamily="2" charset="0"/>
              <a:ea typeface="+mn-ea"/>
              <a:cs typeface="+mn-cs"/>
            </a:rPr>
            <a:t>suspended</a:t>
          </a:r>
          <a:r>
            <a:rPr lang="en-US" sz="1100" b="0" i="0" baseline="0">
              <a:solidFill>
                <a:schemeClr val="dk1"/>
              </a:solidFill>
              <a:effectLst/>
              <a:latin typeface="Montserrat" pitchFamily="2" charset="0"/>
              <a:ea typeface="+mn-ea"/>
              <a:cs typeface="+mn-cs"/>
            </a:rPr>
            <a:t> farm site where harvest took place in the reporting year. In case no treatments were conducted, no reporting is required in table 1. </a:t>
          </a:r>
          <a:r>
            <a:rPr lang="en-GB" sz="1100" b="0">
              <a:solidFill>
                <a:schemeClr val="dk1"/>
              </a:solidFill>
              <a:effectLst/>
              <a:latin typeface="Montserrat" pitchFamily="2" charset="0"/>
              <a:ea typeface="+mn-ea"/>
              <a:cs typeface="+mn-cs"/>
            </a:rPr>
            <a:t>A treatment is a single course medication given to address a specific disease issue and may last a number of days.</a:t>
          </a:r>
          <a:endParaRPr lang="en-US" sz="1100" b="0" i="0" baseline="0">
            <a:solidFill>
              <a:schemeClr val="dk1"/>
            </a:solidFill>
            <a:effectLst/>
            <a:latin typeface="Montserrat" pitchFamily="2" charset="0"/>
            <a:ea typeface="+mn-ea"/>
            <a:cs typeface="+mn-cs"/>
          </a:endParaRPr>
        </a:p>
        <a:p>
          <a:endParaRPr lang="en-NL">
            <a:effectLst/>
            <a:latin typeface="Montserrat" pitchFamily="2" charset="0"/>
          </a:endParaRPr>
        </a:p>
        <a:p>
          <a:r>
            <a:rPr lang="en-US" sz="1100" b="0" i="0" baseline="0">
              <a:solidFill>
                <a:schemeClr val="dk1"/>
              </a:solidFill>
              <a:effectLst/>
              <a:latin typeface="Montserrat" pitchFamily="2" charset="0"/>
              <a:ea typeface="+mn-ea"/>
              <a:cs typeface="+mn-cs"/>
            </a:rPr>
            <a:t>In table 2 the antibiotic load is calculated per species over the </a:t>
          </a:r>
          <a:r>
            <a:rPr lang="en-US" sz="1100" b="0" i="1" baseline="0">
              <a:solidFill>
                <a:schemeClr val="dk1"/>
              </a:solidFill>
              <a:effectLst/>
              <a:latin typeface="Montserrat" pitchFamily="2" charset="0"/>
              <a:ea typeface="+mn-ea"/>
              <a:cs typeface="+mn-cs"/>
            </a:rPr>
            <a:t>ASC certified </a:t>
          </a:r>
          <a:r>
            <a:rPr lang="en-US" sz="1100" b="0" i="0" baseline="0">
              <a:solidFill>
                <a:schemeClr val="dk1"/>
              </a:solidFill>
              <a:effectLst/>
              <a:latin typeface="Montserrat" pitchFamily="2" charset="0"/>
              <a:ea typeface="+mn-ea"/>
              <a:cs typeface="+mn-cs"/>
            </a:rPr>
            <a:t>net production volume in the reporting year. All relevant production data is autopopulated from the 'Site and production details' tab.</a:t>
          </a:r>
        </a:p>
        <a:p>
          <a:endParaRPr lang="en-US" sz="1100" b="0" i="0" baseline="0">
            <a:solidFill>
              <a:schemeClr val="dk1"/>
            </a:solidFill>
            <a:effectLst/>
            <a:latin typeface="Montserrat"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chemeClr val="dk1"/>
              </a:solidFill>
              <a:effectLst/>
              <a:latin typeface="Montserrat" pitchFamily="2" charset="0"/>
              <a:ea typeface="+mn-ea"/>
              <a:cs typeface="+mn-cs"/>
            </a:rPr>
            <a:t>In table 3 the parasiticide load is calculated for each applied parasiticide per species over the </a:t>
          </a:r>
          <a:r>
            <a:rPr lang="en-US" sz="1100" b="0" i="1" baseline="0">
              <a:solidFill>
                <a:schemeClr val="dk1"/>
              </a:solidFill>
              <a:effectLst/>
              <a:latin typeface="Montserrat" pitchFamily="2" charset="0"/>
              <a:ea typeface="+mn-ea"/>
              <a:cs typeface="+mn-cs"/>
            </a:rPr>
            <a:t>ASC certified </a:t>
          </a:r>
          <a:r>
            <a:rPr lang="en-US" sz="1100" b="0" i="0" baseline="0">
              <a:solidFill>
                <a:schemeClr val="dk1"/>
              </a:solidFill>
              <a:effectLst/>
              <a:latin typeface="Montserrat" pitchFamily="2" charset="0"/>
              <a:ea typeface="+mn-ea"/>
              <a:cs typeface="+mn-cs"/>
            </a:rPr>
            <a:t>net production volume in the reporting year. All relevant production data is autopopulated from the 'Site and production details' tab.</a:t>
          </a:r>
          <a:endParaRPr lang="en-NL">
            <a:effectLst/>
            <a:latin typeface="Montserrat" pitchFamily="2" charset="0"/>
          </a:endParaRPr>
        </a:p>
        <a:p>
          <a:endParaRPr lang="en-NL">
            <a:effectLst/>
            <a:latin typeface="Montserrat" pitchFamily="2" charset="0"/>
          </a:endParaRPr>
        </a:p>
        <a:p>
          <a:r>
            <a:rPr lang="en-US" sz="1100" b="1" i="0" u="sng">
              <a:solidFill>
                <a:schemeClr val="dk1"/>
              </a:solidFill>
              <a:effectLst/>
              <a:latin typeface="Montserrat" pitchFamily="2" charset="0"/>
              <a:ea typeface="+mn-ea"/>
              <a:cs typeface="+mn-cs"/>
            </a:rPr>
            <a:t>TABLE 1. Veterinary therapeutants reporting</a:t>
          </a:r>
          <a:endParaRPr lang="en-GB">
            <a:effectLst/>
            <a:latin typeface="Montserrat" pitchFamily="2" charset="0"/>
          </a:endParaRPr>
        </a:p>
        <a:p>
          <a:pPr eaLnBrk="1" fontAlgn="auto" latinLnBrk="0" hangingPunct="1"/>
          <a:r>
            <a:rPr lang="en-US" sz="1100" b="1" i="0">
              <a:solidFill>
                <a:schemeClr val="dk1"/>
              </a:solidFill>
              <a:effectLst/>
              <a:latin typeface="Montserrat" pitchFamily="2" charset="0"/>
              <a:ea typeface="+mn-ea"/>
              <a:cs typeface="+mn-cs"/>
            </a:rPr>
            <a:t>Species in production (select) </a:t>
          </a:r>
          <a:r>
            <a:rPr lang="en-US" sz="1100" b="0" i="0">
              <a:solidFill>
                <a:schemeClr val="dk1"/>
              </a:solidFill>
              <a:effectLst/>
              <a:latin typeface="Montserrat" pitchFamily="2" charset="0"/>
              <a:ea typeface="+mn-ea"/>
              <a:cs typeface="+mn-cs"/>
            </a:rPr>
            <a:t>(Mandatory field)</a:t>
          </a:r>
        </a:p>
        <a:p>
          <a:r>
            <a:rPr lang="en-GB" sz="1100" b="0" baseline="0">
              <a:solidFill>
                <a:schemeClr val="dk1"/>
              </a:solidFill>
              <a:effectLst/>
              <a:latin typeface="Montserrat" pitchFamily="2" charset="0"/>
              <a:ea typeface="+mn-ea"/>
              <a:cs typeface="+mn-cs"/>
            </a:rPr>
            <a:t>Select the species in production for which a treatment is reported for using the dropdown menu. The selection option is based on the species name provided in the 'Site and production details' tab.</a:t>
          </a:r>
        </a:p>
        <a:p>
          <a:pPr marL="0" marR="0" lvl="0" indent="0" defTabSz="914400" eaLnBrk="1" fontAlgn="auto" latinLnBrk="0" hangingPunct="1">
            <a:lnSpc>
              <a:spcPct val="100000"/>
            </a:lnSpc>
            <a:spcBef>
              <a:spcPts val="0"/>
            </a:spcBef>
            <a:spcAft>
              <a:spcPts val="0"/>
            </a:spcAft>
            <a:buClrTx/>
            <a:buSzTx/>
            <a:buFontTx/>
            <a:buNone/>
            <a:tabLst/>
            <a:defRPr/>
          </a:pPr>
          <a:endParaRPr lang="en-GB">
            <a:effectLst/>
            <a:latin typeface="Montserrat" pitchFamily="2" charset="0"/>
          </a:endParaRPr>
        </a:p>
        <a:p>
          <a:pPr eaLnBrk="1" fontAlgn="auto" latinLnBrk="0" hangingPunct="1"/>
          <a:r>
            <a:rPr lang="en-US" sz="1100" b="1" i="0">
              <a:solidFill>
                <a:schemeClr val="dk1"/>
              </a:solidFill>
              <a:effectLst/>
              <a:latin typeface="Montserrat" pitchFamily="2" charset="0"/>
              <a:ea typeface="+mn-ea"/>
              <a:cs typeface="+mn-cs"/>
            </a:rPr>
            <a:t>Cycle ID (select) </a:t>
          </a:r>
          <a:r>
            <a:rPr lang="en-US" sz="1100" b="0" i="0">
              <a:solidFill>
                <a:schemeClr val="dk1"/>
              </a:solidFill>
              <a:effectLst/>
              <a:latin typeface="Montserrat" pitchFamily="2" charset="0"/>
              <a:ea typeface="+mn-ea"/>
              <a:cs typeface="+mn-cs"/>
            </a:rPr>
            <a:t>(Voluntary field)</a:t>
          </a:r>
        </a:p>
        <a:p>
          <a:r>
            <a:rPr lang="en-GB" sz="1100" b="0" baseline="0">
              <a:solidFill>
                <a:schemeClr val="dk1"/>
              </a:solidFill>
              <a:effectLst/>
              <a:latin typeface="Montserrat" pitchFamily="2" charset="0"/>
              <a:ea typeface="+mn-ea"/>
              <a:cs typeface="+mn-cs"/>
            </a:rPr>
            <a:t>Select the cycle ID a treatment is reported for using the dropdown menu. The selection options are based on the cycle IDs provided in the 'Site and production details' tab.</a:t>
          </a:r>
          <a:endParaRPr lang="en-NL">
            <a:effectLst/>
            <a:latin typeface="Montserrat" pitchFamily="2" charset="0"/>
          </a:endParaRPr>
        </a:p>
        <a:p>
          <a:endParaRPr lang="en-US" sz="1100" b="1" i="0">
            <a:solidFill>
              <a:schemeClr val="dk1"/>
            </a:solidFill>
            <a:effectLst/>
            <a:latin typeface="Montserrat" pitchFamily="2" charset="0"/>
            <a:ea typeface="+mn-ea"/>
            <a:cs typeface="+mn-cs"/>
          </a:endParaRPr>
        </a:p>
        <a:p>
          <a:pPr eaLnBrk="1" fontAlgn="auto" latinLnBrk="0" hangingPunct="1"/>
          <a:r>
            <a:rPr lang="en-US" sz="1100" b="1" i="0">
              <a:solidFill>
                <a:schemeClr val="dk1"/>
              </a:solidFill>
              <a:effectLst/>
              <a:latin typeface="Montserrat" pitchFamily="2" charset="0"/>
              <a:ea typeface="+mn-ea"/>
              <a:cs typeface="+mn-cs"/>
            </a:rPr>
            <a:t>Start date of treatment (dd-mm-yyyy)</a:t>
          </a:r>
          <a:r>
            <a:rPr lang="en-US" sz="1100" b="0" i="0">
              <a:solidFill>
                <a:schemeClr val="dk1"/>
              </a:solidFill>
              <a:effectLst/>
              <a:latin typeface="Montserrat" pitchFamily="2" charset="0"/>
              <a:ea typeface="+mn-ea"/>
              <a:cs typeface="+mn-cs"/>
            </a:rPr>
            <a:t> (Mandatory field)</a:t>
          </a:r>
          <a:endParaRPr lang="en-US" sz="1100" b="1" i="0">
            <a:solidFill>
              <a:schemeClr val="dk1"/>
            </a:solidFill>
            <a:effectLst/>
            <a:latin typeface="Montserrat" pitchFamily="2" charset="0"/>
            <a:ea typeface="+mn-ea"/>
            <a:cs typeface="+mn-cs"/>
          </a:endParaRPr>
        </a:p>
        <a:p>
          <a:pPr eaLnBrk="1" fontAlgn="auto" latinLnBrk="0" hangingPunct="1"/>
          <a:r>
            <a:rPr lang="en-US" sz="1100" b="0" i="0">
              <a:solidFill>
                <a:schemeClr val="dk1"/>
              </a:solidFill>
              <a:effectLst/>
              <a:latin typeface="Montserrat" pitchFamily="2" charset="0"/>
              <a:ea typeface="+mn-ea"/>
              <a:cs typeface="+mn-cs"/>
            </a:rPr>
            <a:t>Provide the date of the first day the treatment was started.</a:t>
          </a:r>
        </a:p>
        <a:p>
          <a:pPr eaLnBrk="1" fontAlgn="auto" latinLnBrk="0" hangingPunct="1"/>
          <a:endParaRPr lang="en-US" sz="1100" b="1" i="0">
            <a:solidFill>
              <a:schemeClr val="dk1"/>
            </a:solidFill>
            <a:effectLst/>
            <a:latin typeface="Montserrat" pitchFamily="2" charset="0"/>
            <a:ea typeface="+mn-ea"/>
            <a:cs typeface="+mn-cs"/>
          </a:endParaRPr>
        </a:p>
        <a:p>
          <a:pPr eaLnBrk="1" fontAlgn="auto" latinLnBrk="0" hangingPunct="1"/>
          <a:r>
            <a:rPr lang="en-US" sz="1100" b="1" i="0">
              <a:solidFill>
                <a:schemeClr val="dk1"/>
              </a:solidFill>
              <a:effectLst/>
              <a:latin typeface="Montserrat" pitchFamily="2" charset="0"/>
              <a:ea typeface="+mn-ea"/>
              <a:cs typeface="+mn-cs"/>
            </a:rPr>
            <a:t>End date of treatment (dd-mm-yyyy) </a:t>
          </a:r>
          <a:r>
            <a:rPr lang="en-US" sz="1100" b="0" i="0">
              <a:solidFill>
                <a:schemeClr val="dk1"/>
              </a:solidFill>
              <a:effectLst/>
              <a:latin typeface="Montserrat" pitchFamily="2" charset="0"/>
              <a:ea typeface="+mn-ea"/>
              <a:cs typeface="+mn-cs"/>
            </a:rPr>
            <a:t>(Mandatory field)</a:t>
          </a:r>
        </a:p>
        <a:p>
          <a:pPr eaLnBrk="1" fontAlgn="auto" latinLnBrk="0" hangingPunct="1"/>
          <a:r>
            <a:rPr lang="en-US" sz="1100" b="0" i="0">
              <a:solidFill>
                <a:schemeClr val="dk1"/>
              </a:solidFill>
              <a:effectLst/>
              <a:latin typeface="Montserrat" pitchFamily="2" charset="0"/>
              <a:ea typeface="+mn-ea"/>
              <a:cs typeface="+mn-cs"/>
            </a:rPr>
            <a:t>Provide the date of the final day of the treatment. If a treatment is finished within a day, provide here the same date as the start date of treatment.</a:t>
          </a:r>
        </a:p>
        <a:p>
          <a:pPr eaLnBrk="1" fontAlgn="auto" latinLnBrk="0" hangingPunct="1"/>
          <a:endParaRPr lang="en-US" sz="1100" b="1" i="0">
            <a:solidFill>
              <a:schemeClr val="dk1"/>
            </a:solidFill>
            <a:effectLst/>
            <a:latin typeface="Montserrat"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GB" b="1">
              <a:effectLst/>
              <a:latin typeface="Montserrat" pitchFamily="2" charset="0"/>
            </a:rPr>
            <a:t>Type of </a:t>
          </a:r>
          <a:r>
            <a:rPr lang="en-US" b="1">
              <a:effectLst/>
              <a:latin typeface="Montserrat" pitchFamily="2" charset="0"/>
            </a:rPr>
            <a:t>treatment (select) </a:t>
          </a:r>
          <a:r>
            <a:rPr lang="en-US" b="0">
              <a:effectLst/>
              <a:latin typeface="Montserrat" pitchFamily="2" charset="0"/>
            </a:rPr>
            <a:t>(Mandatory field)</a:t>
          </a:r>
        </a:p>
        <a:p>
          <a:pPr marL="0" marR="0" indent="0" defTabSz="914400" eaLnBrk="1" fontAlgn="auto" latinLnBrk="0" hangingPunct="1">
            <a:lnSpc>
              <a:spcPct val="100000"/>
            </a:lnSpc>
            <a:spcBef>
              <a:spcPts val="0"/>
            </a:spcBef>
            <a:spcAft>
              <a:spcPts val="0"/>
            </a:spcAft>
            <a:buClrTx/>
            <a:buSzTx/>
            <a:buFontTx/>
            <a:buNone/>
            <a:tabLst/>
            <a:defRPr/>
          </a:pPr>
          <a:r>
            <a:rPr lang="en-GB" sz="1100" b="0" baseline="0">
              <a:solidFill>
                <a:schemeClr val="dk1"/>
              </a:solidFill>
              <a:effectLst/>
              <a:latin typeface="Montserrat" pitchFamily="2" charset="0"/>
              <a:ea typeface="+mn-ea"/>
              <a:cs typeface="+mn-cs"/>
            </a:rPr>
            <a:t>Select the type of treatment that is applied. </a:t>
          </a:r>
          <a:r>
            <a:rPr lang="en-US" sz="1100" b="0">
              <a:solidFill>
                <a:schemeClr val="dk1"/>
              </a:solidFill>
              <a:effectLst/>
              <a:latin typeface="Montserrat" pitchFamily="2" charset="0"/>
              <a:ea typeface="+mn-ea"/>
              <a:cs typeface="+mn-cs"/>
            </a:rPr>
            <a:t>In case the type of treatment is not</a:t>
          </a:r>
          <a:r>
            <a:rPr lang="en-US" sz="1100" b="0" baseline="0">
              <a:solidFill>
                <a:schemeClr val="dk1"/>
              </a:solidFill>
              <a:effectLst/>
              <a:latin typeface="Montserrat" pitchFamily="2" charset="0"/>
              <a:ea typeface="+mn-ea"/>
              <a:cs typeface="+mn-cs"/>
            </a:rPr>
            <a:t> one of the options provided, please type out the treatment type as concise as possible.</a:t>
          </a:r>
          <a:endParaRPr lang="en-NL">
            <a:effectLst/>
            <a:latin typeface="Montserrat" pitchFamily="2" charset="0"/>
          </a:endParaRPr>
        </a:p>
        <a:p>
          <a:pPr marL="0" marR="0" indent="0" defTabSz="914400" eaLnBrk="1" fontAlgn="auto" latinLnBrk="0" hangingPunct="1">
            <a:lnSpc>
              <a:spcPct val="100000"/>
            </a:lnSpc>
            <a:spcBef>
              <a:spcPts val="0"/>
            </a:spcBef>
            <a:spcAft>
              <a:spcPts val="0"/>
            </a:spcAft>
            <a:buClrTx/>
            <a:buSzTx/>
            <a:buFontTx/>
            <a:buNone/>
            <a:tabLst/>
            <a:defRPr/>
          </a:pPr>
          <a:endParaRPr lang="en-GB" sz="1100" b="0" u="none" baseline="0">
            <a:latin typeface="Montserrat" pitchFamily="2" charset="0"/>
          </a:endParaRPr>
        </a:p>
        <a:p>
          <a:pPr marL="0" marR="0" indent="0" defTabSz="914400" eaLnBrk="1" fontAlgn="auto" latinLnBrk="0" hangingPunct="1">
            <a:lnSpc>
              <a:spcPct val="100000"/>
            </a:lnSpc>
            <a:spcBef>
              <a:spcPts val="0"/>
            </a:spcBef>
            <a:spcAft>
              <a:spcPts val="0"/>
            </a:spcAft>
            <a:buClrTx/>
            <a:buSzTx/>
            <a:buFontTx/>
            <a:buNone/>
            <a:tabLst/>
            <a:defRPr/>
          </a:pPr>
          <a:r>
            <a:rPr lang="en-GB" sz="1100" b="1" u="none" baseline="0">
              <a:latin typeface="Montserrat" pitchFamily="2" charset="0"/>
            </a:rPr>
            <a:t>Reason for use </a:t>
          </a:r>
          <a:r>
            <a:rPr lang="en-GB" sz="1100" b="0" u="none" baseline="0">
              <a:latin typeface="Montserrat" pitchFamily="2" charset="0"/>
            </a:rPr>
            <a:t>(Mandatory field)</a:t>
          </a:r>
        </a:p>
        <a:p>
          <a:pPr marL="0" marR="0" indent="0" defTabSz="914400" eaLnBrk="1" fontAlgn="auto" latinLnBrk="0" hangingPunct="1">
            <a:lnSpc>
              <a:spcPct val="100000"/>
            </a:lnSpc>
            <a:spcBef>
              <a:spcPts val="0"/>
            </a:spcBef>
            <a:spcAft>
              <a:spcPts val="0"/>
            </a:spcAft>
            <a:buClrTx/>
            <a:buSzTx/>
            <a:buFontTx/>
            <a:buNone/>
            <a:tabLst/>
            <a:defRPr/>
          </a:pPr>
          <a:r>
            <a:rPr lang="en-GB" sz="1100" b="0" u="none" baseline="0">
              <a:latin typeface="Montserrat" pitchFamily="2" charset="0"/>
            </a:rPr>
            <a:t>Indicate the medical reason for the treatment.</a:t>
          </a:r>
        </a:p>
        <a:p>
          <a:pPr marL="0" marR="0" indent="0" defTabSz="914400" eaLnBrk="1" fontAlgn="auto" latinLnBrk="0" hangingPunct="1">
            <a:lnSpc>
              <a:spcPct val="100000"/>
            </a:lnSpc>
            <a:spcBef>
              <a:spcPts val="0"/>
            </a:spcBef>
            <a:spcAft>
              <a:spcPts val="0"/>
            </a:spcAft>
            <a:buClrTx/>
            <a:buSzTx/>
            <a:buFontTx/>
            <a:buNone/>
            <a:tabLst/>
            <a:defRPr/>
          </a:pPr>
          <a:endParaRPr lang="en-GB" sz="1100" b="0" u="none" baseline="0">
            <a:latin typeface="Montserrat" pitchFamily="2" charset="0"/>
          </a:endParaRPr>
        </a:p>
        <a:p>
          <a:pPr marL="0" marR="0" indent="0" defTabSz="914400" eaLnBrk="1" fontAlgn="auto" latinLnBrk="0" hangingPunct="1">
            <a:lnSpc>
              <a:spcPct val="100000"/>
            </a:lnSpc>
            <a:spcBef>
              <a:spcPts val="0"/>
            </a:spcBef>
            <a:spcAft>
              <a:spcPts val="0"/>
            </a:spcAft>
            <a:buClrTx/>
            <a:buSzTx/>
            <a:buFontTx/>
            <a:buNone/>
            <a:tabLst/>
            <a:defRPr/>
          </a:pPr>
          <a:r>
            <a:rPr lang="en-GB" sz="1100" b="1" u="none" baseline="0">
              <a:latin typeface="Montserrat" pitchFamily="2" charset="0"/>
            </a:rPr>
            <a:t>Active component name </a:t>
          </a:r>
          <a:r>
            <a:rPr lang="en-GB" sz="1100" b="0" u="none" baseline="0">
              <a:latin typeface="Montserrat" pitchFamily="2" charset="0"/>
            </a:rPr>
            <a:t>(Mandatory field)</a:t>
          </a:r>
        </a:p>
        <a:p>
          <a:pPr marL="0" marR="0" indent="0" defTabSz="914400" eaLnBrk="1" fontAlgn="auto" latinLnBrk="0" hangingPunct="1">
            <a:lnSpc>
              <a:spcPct val="100000"/>
            </a:lnSpc>
            <a:spcBef>
              <a:spcPts val="0"/>
            </a:spcBef>
            <a:spcAft>
              <a:spcPts val="0"/>
            </a:spcAft>
            <a:buClrTx/>
            <a:buSzTx/>
            <a:buFontTx/>
            <a:buNone/>
            <a:tabLst/>
            <a:defRPr/>
          </a:pPr>
          <a:r>
            <a:rPr lang="en-GB" sz="1100" b="0" u="none" baseline="0">
              <a:latin typeface="Montserrat" pitchFamily="2" charset="0"/>
            </a:rPr>
            <a:t>Provide the name of the active component of the product used for the treatment.</a:t>
          </a:r>
        </a:p>
        <a:p>
          <a:pPr marL="0" marR="0" indent="0" defTabSz="914400" eaLnBrk="1" fontAlgn="auto" latinLnBrk="0" hangingPunct="1">
            <a:lnSpc>
              <a:spcPct val="100000"/>
            </a:lnSpc>
            <a:spcBef>
              <a:spcPts val="0"/>
            </a:spcBef>
            <a:spcAft>
              <a:spcPts val="0"/>
            </a:spcAft>
            <a:buClrTx/>
            <a:buSzTx/>
            <a:buFontTx/>
            <a:buNone/>
            <a:tabLst/>
            <a:defRPr/>
          </a:pPr>
          <a:r>
            <a:rPr lang="en-GB" sz="1100" b="0" u="none" baseline="0">
              <a:latin typeface="Montserrat" pitchFamily="2" charset="0"/>
            </a:rPr>
            <a:t> </a:t>
          </a:r>
        </a:p>
        <a:p>
          <a:pPr marL="0" marR="0" indent="0" defTabSz="914400" eaLnBrk="1" fontAlgn="auto" latinLnBrk="0" hangingPunct="1">
            <a:lnSpc>
              <a:spcPct val="100000"/>
            </a:lnSpc>
            <a:spcBef>
              <a:spcPts val="0"/>
            </a:spcBef>
            <a:spcAft>
              <a:spcPts val="0"/>
            </a:spcAft>
            <a:buClrTx/>
            <a:buSzTx/>
            <a:buFontTx/>
            <a:buNone/>
            <a:tabLst/>
            <a:defRPr/>
          </a:pPr>
          <a:r>
            <a:rPr lang="en-GB" sz="1100" b="1" u="none" baseline="0">
              <a:latin typeface="Montserrat" pitchFamily="2" charset="0"/>
            </a:rPr>
            <a:t>Product name </a:t>
          </a:r>
          <a:r>
            <a:rPr lang="en-GB" sz="1100" b="0" u="none" baseline="0">
              <a:latin typeface="Montserrat" pitchFamily="2" charset="0"/>
            </a:rPr>
            <a:t>(Mandatory field)</a:t>
          </a:r>
        </a:p>
        <a:p>
          <a:pPr marL="0" marR="0" lvl="0" indent="0" defTabSz="914400" eaLnBrk="1" fontAlgn="auto" latinLnBrk="0" hangingPunct="1">
            <a:lnSpc>
              <a:spcPct val="100000"/>
            </a:lnSpc>
            <a:spcBef>
              <a:spcPts val="0"/>
            </a:spcBef>
            <a:spcAft>
              <a:spcPts val="0"/>
            </a:spcAft>
            <a:buClrTx/>
            <a:buSzTx/>
            <a:buFontTx/>
            <a:buNone/>
            <a:tabLst/>
            <a:defRPr/>
          </a:pPr>
          <a:r>
            <a:rPr lang="en-GB" sz="1100" b="0" baseline="0">
              <a:solidFill>
                <a:schemeClr val="dk1"/>
              </a:solidFill>
              <a:effectLst/>
              <a:latin typeface="Montserrat" pitchFamily="2" charset="0"/>
              <a:ea typeface="+mn-ea"/>
              <a:cs typeface="+mn-cs"/>
            </a:rPr>
            <a:t>Provide the product name of the product used for the treatment.</a:t>
          </a:r>
        </a:p>
        <a:p>
          <a:pPr marL="0" marR="0" lvl="0" indent="0" defTabSz="914400" eaLnBrk="1" fontAlgn="auto" latinLnBrk="0" hangingPunct="1">
            <a:lnSpc>
              <a:spcPct val="100000"/>
            </a:lnSpc>
            <a:spcBef>
              <a:spcPts val="0"/>
            </a:spcBef>
            <a:spcAft>
              <a:spcPts val="0"/>
            </a:spcAft>
            <a:buClrTx/>
            <a:buSzTx/>
            <a:buFontTx/>
            <a:buNone/>
            <a:tabLst/>
            <a:defRPr/>
          </a:pPr>
          <a:endParaRPr lang="en-GB" sz="1100" b="0" u="none" baseline="0">
            <a:latin typeface="Montserrat"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b="1">
              <a:solidFill>
                <a:schemeClr val="tx1"/>
              </a:solidFill>
              <a:effectLst/>
              <a:latin typeface="Montserrat" pitchFamily="2" charset="0"/>
              <a:ea typeface="+mn-ea"/>
              <a:cs typeface="+mn-cs"/>
            </a:rPr>
            <a:t>WHO classification (select)</a:t>
          </a:r>
          <a:r>
            <a:rPr lang="en-GB" sz="1100" b="1" baseline="0">
              <a:solidFill>
                <a:schemeClr val="tx1"/>
              </a:solidFill>
              <a:effectLst/>
              <a:latin typeface="Montserrat" pitchFamily="2" charset="0"/>
              <a:ea typeface="+mn-ea"/>
              <a:cs typeface="+mn-cs"/>
            </a:rPr>
            <a:t> </a:t>
          </a:r>
          <a:r>
            <a:rPr lang="en-GB" sz="1100" b="0" baseline="0">
              <a:solidFill>
                <a:schemeClr val="tx1"/>
              </a:solidFill>
              <a:effectLst/>
              <a:latin typeface="Montserrat" pitchFamily="2" charset="0"/>
              <a:ea typeface="+mn-ea"/>
              <a:cs typeface="+mn-cs"/>
            </a:rPr>
            <a:t>(Mandatory field)</a:t>
          </a:r>
        </a:p>
        <a:p>
          <a:r>
            <a:rPr lang="en-GB" sz="1100" b="0">
              <a:solidFill>
                <a:schemeClr val="tx1"/>
              </a:solidFill>
              <a:effectLst/>
              <a:latin typeface="Montserrat" pitchFamily="2" charset="0"/>
              <a:ea typeface="+mn-ea"/>
              <a:cs typeface="+mn-cs"/>
            </a:rPr>
            <a:t>Select the WHO classification of the treatment used. If not listed in the WHO classification, select 'Not important antimicrobial'.</a:t>
          </a:r>
        </a:p>
        <a:p>
          <a:r>
            <a:rPr lang="en-GB" sz="1100" b="0">
              <a:solidFill>
                <a:schemeClr val="tx1"/>
              </a:solidFill>
              <a:effectLst/>
              <a:latin typeface="Montserrat" pitchFamily="2" charset="0"/>
              <a:ea typeface="+mn-ea"/>
              <a:cs typeface="+mn-cs"/>
            </a:rPr>
            <a:t>The WHO classification list is available online here: https://www.who.int/groups/advisory-group-on-the-who-list-of-critically-important-antimicrobials</a:t>
          </a:r>
        </a:p>
        <a:p>
          <a:endParaRPr lang="en-US" sz="1100" b="1" i="0" baseline="0">
            <a:solidFill>
              <a:schemeClr val="dk1"/>
            </a:solidFill>
            <a:effectLst/>
            <a:latin typeface="Montserrat" pitchFamily="2" charset="0"/>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en-GB" sz="1100" b="1" baseline="0">
              <a:latin typeface="Montserrat" pitchFamily="2" charset="0"/>
            </a:rPr>
            <a:t>Amount of active component (kg) </a:t>
          </a:r>
          <a:r>
            <a:rPr lang="en-GB" sz="1100" b="0" baseline="0">
              <a:latin typeface="Montserrat" pitchFamily="2" charset="0"/>
            </a:rPr>
            <a:t>(Mandatory field)</a:t>
          </a:r>
        </a:p>
        <a:p>
          <a:r>
            <a:rPr lang="en-GB" sz="1100" b="0" baseline="0">
              <a:solidFill>
                <a:schemeClr val="dk1"/>
              </a:solidFill>
              <a:effectLst/>
              <a:latin typeface="Montserrat" pitchFamily="2" charset="0"/>
              <a:ea typeface="+mn-ea"/>
              <a:cs typeface="+mn-cs"/>
            </a:rPr>
            <a:t>Indicate the total amount of active substance that has been applied during the treatment in kilograms (kg). This can be calculated from the amount of active component as indicated on the product. E.g if a parasiticide contains 10mg/mL of active components and 1L of parasiticide is applied, then 10.000mg = 10g = 0.01 kg of active component is applied.</a:t>
          </a:r>
          <a:endParaRPr lang="en-NL">
            <a:effectLst/>
            <a:latin typeface="Montserrat"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endParaRPr lang="en-GB" sz="1100" b="0" baseline="0">
            <a:solidFill>
              <a:schemeClr val="dk1"/>
            </a:solidFill>
            <a:effectLst/>
            <a:latin typeface="Montserrat"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b="1" baseline="0">
              <a:solidFill>
                <a:schemeClr val="dk1"/>
              </a:solidFill>
              <a:effectLst/>
              <a:latin typeface="Montserrat" pitchFamily="2" charset="0"/>
              <a:ea typeface="+mn-ea"/>
              <a:cs typeface="+mn-cs"/>
            </a:rPr>
            <a:t>Notes</a:t>
          </a:r>
          <a:r>
            <a:rPr lang="en-GB" sz="1100" b="0" baseline="0">
              <a:solidFill>
                <a:schemeClr val="dk1"/>
              </a:solidFill>
              <a:effectLst/>
              <a:latin typeface="Montserrat" pitchFamily="2" charset="0"/>
              <a:ea typeface="+mn-ea"/>
              <a:cs typeface="+mn-cs"/>
            </a:rPr>
            <a:t> (Voluntary field)</a:t>
          </a:r>
        </a:p>
        <a:p>
          <a:pPr marL="0" marR="0" lvl="0" indent="0" defTabSz="914400" eaLnBrk="1" fontAlgn="auto" latinLnBrk="0" hangingPunct="1">
            <a:lnSpc>
              <a:spcPct val="100000"/>
            </a:lnSpc>
            <a:spcBef>
              <a:spcPts val="0"/>
            </a:spcBef>
            <a:spcAft>
              <a:spcPts val="0"/>
            </a:spcAft>
            <a:buClrTx/>
            <a:buSzTx/>
            <a:buFontTx/>
            <a:buNone/>
            <a:tabLst/>
            <a:defRPr/>
          </a:pPr>
          <a:r>
            <a:rPr lang="en-GB" sz="1100" b="0" baseline="0">
              <a:solidFill>
                <a:schemeClr val="dk1"/>
              </a:solidFill>
              <a:effectLst/>
              <a:latin typeface="Montserrat" pitchFamily="2" charset="0"/>
              <a:ea typeface="+mn-ea"/>
              <a:cs typeface="+mn-cs"/>
            </a:rPr>
            <a:t>This field may be used to provide any other relevant information or clarifications.</a:t>
          </a:r>
        </a:p>
        <a:p>
          <a:pPr marL="0" marR="0" lvl="0" indent="0" defTabSz="914400" eaLnBrk="1" fontAlgn="auto" latinLnBrk="0" hangingPunct="1">
            <a:lnSpc>
              <a:spcPct val="100000"/>
            </a:lnSpc>
            <a:spcBef>
              <a:spcPts val="0"/>
            </a:spcBef>
            <a:spcAft>
              <a:spcPts val="0"/>
            </a:spcAft>
            <a:buClrTx/>
            <a:buSzTx/>
            <a:buFontTx/>
            <a:buNone/>
            <a:tabLst/>
            <a:defRPr/>
          </a:pPr>
          <a:endParaRPr lang="en-GB" sz="1100" b="0" baseline="0">
            <a:solidFill>
              <a:schemeClr val="dk1"/>
            </a:solidFill>
            <a:effectLst/>
            <a:latin typeface="Montserrat"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b="1" u="sng">
              <a:effectLst/>
              <a:latin typeface="Montserrat" pitchFamily="2" charset="0"/>
            </a:rPr>
            <a:t>TABLE 2. Calculated antibiotic load per species</a:t>
          </a:r>
          <a:endParaRPr lang="en-US" b="1">
            <a:effectLst/>
            <a:latin typeface="Montserrat"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b="1">
              <a:effectLst/>
              <a:latin typeface="Montserrat" pitchFamily="2" charset="0"/>
            </a:rPr>
            <a:t>Species in production (latin name) </a:t>
          </a:r>
          <a:r>
            <a:rPr lang="en-US" b="0">
              <a:effectLst/>
              <a:latin typeface="Montserrat" pitchFamily="2" charset="0"/>
            </a:rPr>
            <a:t>(Autopopulated field)</a:t>
          </a:r>
        </a:p>
        <a:p>
          <a:pPr marL="0" marR="0" lvl="0" indent="0" defTabSz="914400" eaLnBrk="1" fontAlgn="auto" latinLnBrk="0" hangingPunct="1">
            <a:lnSpc>
              <a:spcPct val="100000"/>
            </a:lnSpc>
            <a:spcBef>
              <a:spcPts val="0"/>
            </a:spcBef>
            <a:spcAft>
              <a:spcPts val="0"/>
            </a:spcAft>
            <a:buClrTx/>
            <a:buSzTx/>
            <a:buFontTx/>
            <a:buNone/>
            <a:tabLst/>
            <a:defRPr/>
          </a:pPr>
          <a:r>
            <a:rPr lang="en-US">
              <a:effectLst/>
              <a:latin typeface="Montserrat" pitchFamily="2" charset="0"/>
            </a:rPr>
            <a:t>The species in production is autopopulated from the 'Site and production details' tab.</a:t>
          </a:r>
        </a:p>
        <a:p>
          <a:pPr marL="0" marR="0" lvl="0" indent="0" defTabSz="914400" eaLnBrk="1" fontAlgn="auto" latinLnBrk="0" hangingPunct="1">
            <a:lnSpc>
              <a:spcPct val="100000"/>
            </a:lnSpc>
            <a:spcBef>
              <a:spcPts val="0"/>
            </a:spcBef>
            <a:spcAft>
              <a:spcPts val="0"/>
            </a:spcAft>
            <a:buClrTx/>
            <a:buSzTx/>
            <a:buFontTx/>
            <a:buNone/>
            <a:tabLst/>
            <a:defRPr/>
          </a:pPr>
          <a:endParaRPr lang="en-US" b="1">
            <a:effectLst/>
            <a:latin typeface="Montserrat"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b="1">
              <a:effectLst/>
              <a:latin typeface="Montserrat" pitchFamily="2" charset="0"/>
            </a:rPr>
            <a:t>ASC certified net production volume (tonnes) </a:t>
          </a:r>
          <a:r>
            <a:rPr lang="en-US" b="0">
              <a:effectLst/>
              <a:latin typeface="Montserrat" pitchFamily="2" charset="0"/>
            </a:rPr>
            <a:t>(Autopopulated field)</a:t>
          </a:r>
        </a:p>
        <a:p>
          <a:pPr marL="0" marR="0" lvl="0" indent="0" defTabSz="914400" eaLnBrk="1" fontAlgn="auto" latinLnBrk="0" hangingPunct="1">
            <a:lnSpc>
              <a:spcPct val="100000"/>
            </a:lnSpc>
            <a:spcBef>
              <a:spcPts val="0"/>
            </a:spcBef>
            <a:spcAft>
              <a:spcPts val="0"/>
            </a:spcAft>
            <a:buClrTx/>
            <a:buSzTx/>
            <a:buFontTx/>
            <a:buNone/>
            <a:tabLst/>
            <a:defRPr/>
          </a:pPr>
          <a:r>
            <a:rPr lang="en-US" b="0">
              <a:effectLst/>
              <a:latin typeface="Montserrat" pitchFamily="2" charset="0"/>
            </a:rPr>
            <a:t>The ASC certified net production volume is autopopulated from the 'Site and </a:t>
          </a:r>
          <a:r>
            <a:rPr lang="en-US">
              <a:effectLst/>
              <a:latin typeface="Montserrat" pitchFamily="2" charset="0"/>
            </a:rPr>
            <a:t>production details' tab.</a:t>
          </a:r>
        </a:p>
        <a:p>
          <a:pPr marL="0" marR="0" lvl="0" indent="0" defTabSz="914400" eaLnBrk="1" fontAlgn="auto" latinLnBrk="0" hangingPunct="1">
            <a:lnSpc>
              <a:spcPct val="100000"/>
            </a:lnSpc>
            <a:spcBef>
              <a:spcPts val="0"/>
            </a:spcBef>
            <a:spcAft>
              <a:spcPts val="0"/>
            </a:spcAft>
            <a:buClrTx/>
            <a:buSzTx/>
            <a:buFontTx/>
            <a:buNone/>
            <a:tabLst/>
            <a:defRPr/>
          </a:pPr>
          <a:endParaRPr lang="en-US">
            <a:effectLst/>
            <a:latin typeface="Montserrat"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b="1">
              <a:effectLst/>
              <a:latin typeface="Montserrat" pitchFamily="2" charset="0"/>
            </a:rPr>
            <a:t>Antibiotic load (kg/tonne) </a:t>
          </a:r>
          <a:r>
            <a:rPr lang="en-US" b="0">
              <a:effectLst/>
              <a:latin typeface="Montserrat" pitchFamily="2" charset="0"/>
            </a:rPr>
            <a:t>(Calculated field)</a:t>
          </a:r>
        </a:p>
        <a:p>
          <a:pPr marL="0" marR="0" lvl="0" indent="0" defTabSz="914400" eaLnBrk="1" fontAlgn="auto" latinLnBrk="0" hangingPunct="1">
            <a:lnSpc>
              <a:spcPct val="100000"/>
            </a:lnSpc>
            <a:spcBef>
              <a:spcPts val="0"/>
            </a:spcBef>
            <a:spcAft>
              <a:spcPts val="0"/>
            </a:spcAft>
            <a:buClrTx/>
            <a:buSzTx/>
            <a:buFontTx/>
            <a:buNone/>
            <a:tabLst/>
            <a:defRPr/>
          </a:pPr>
          <a:r>
            <a:rPr lang="en-US" b="0">
              <a:effectLst/>
              <a:latin typeface="Montserrat" pitchFamily="2" charset="0"/>
            </a:rPr>
            <a:t>The antibiotic</a:t>
          </a:r>
          <a:r>
            <a:rPr lang="en-US" b="0" baseline="0">
              <a:effectLst/>
              <a:latin typeface="Montserrat" pitchFamily="2" charset="0"/>
            </a:rPr>
            <a:t> load is automatically calculated per </a:t>
          </a:r>
          <a:r>
            <a:rPr lang="en-US" baseline="0">
              <a:effectLst/>
              <a:latin typeface="Montserrat" pitchFamily="2" charset="0"/>
            </a:rPr>
            <a:t>species over the </a:t>
          </a:r>
          <a:r>
            <a:rPr lang="en-US" sz="1100" b="0" i="0" baseline="0">
              <a:solidFill>
                <a:schemeClr val="dk1"/>
              </a:solidFill>
              <a:effectLst/>
              <a:latin typeface="Montserrat" pitchFamily="2" charset="0"/>
              <a:ea typeface="+mn-ea"/>
              <a:cs typeface="+mn-cs"/>
            </a:rPr>
            <a:t>ASC certified net production volume as follows:</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0" i="0" baseline="0">
            <a:solidFill>
              <a:schemeClr val="dk1"/>
            </a:solidFill>
            <a:effectLst/>
            <a:latin typeface="Montserrat"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i="1">
              <a:effectLst/>
              <a:latin typeface="Montserrat" pitchFamily="2" charset="0"/>
            </a:rPr>
            <a:t>	antibiotic load (kg/tonne) = total mass of active component (kg) / net production volume (tonnes) </a:t>
          </a:r>
        </a:p>
        <a:p>
          <a:pPr marL="0" marR="0" lvl="0" indent="0" defTabSz="914400" eaLnBrk="1" fontAlgn="auto" latinLnBrk="0" hangingPunct="1">
            <a:lnSpc>
              <a:spcPct val="100000"/>
            </a:lnSpc>
            <a:spcBef>
              <a:spcPts val="0"/>
            </a:spcBef>
            <a:spcAft>
              <a:spcPts val="0"/>
            </a:spcAft>
            <a:buClrTx/>
            <a:buSzTx/>
            <a:buFontTx/>
            <a:buNone/>
            <a:tabLst/>
            <a:defRPr/>
          </a:pPr>
          <a:endParaRPr lang="en-NL" u="sng">
            <a:effectLst/>
            <a:latin typeface="Montserrat" pitchFamily="2" charset="0"/>
          </a:endParaRPr>
        </a:p>
        <a:p>
          <a:pPr marL="0" marR="0" indent="0" defTabSz="914400" eaLnBrk="1" fontAlgn="auto" latinLnBrk="0" hangingPunct="1">
            <a:lnSpc>
              <a:spcPct val="100000"/>
            </a:lnSpc>
            <a:spcBef>
              <a:spcPts val="0"/>
            </a:spcBef>
            <a:spcAft>
              <a:spcPts val="0"/>
            </a:spcAft>
            <a:buClrTx/>
            <a:buSzTx/>
            <a:buFontTx/>
            <a:buNone/>
            <a:tabLst/>
            <a:defRPr/>
          </a:pPr>
          <a:endParaRPr lang="en-GB" sz="1100" b="0" baseline="0">
            <a:latin typeface="Montserrat" pitchFamily="2" charset="0"/>
          </a:endParaRPr>
        </a:p>
        <a:p>
          <a:pPr marL="0" marR="0" indent="0" defTabSz="914400" eaLnBrk="1" fontAlgn="auto" latinLnBrk="0" hangingPunct="1">
            <a:lnSpc>
              <a:spcPct val="100000"/>
            </a:lnSpc>
            <a:spcBef>
              <a:spcPts val="0"/>
            </a:spcBef>
            <a:spcAft>
              <a:spcPts val="0"/>
            </a:spcAft>
            <a:buClrTx/>
            <a:buSzTx/>
            <a:buFontTx/>
            <a:buNone/>
            <a:tabLst/>
            <a:defRPr/>
          </a:pPr>
          <a:endParaRPr lang="en-GB" sz="1100" b="0" baseline="0">
            <a:latin typeface="Montserrat" pitchFamily="2" charset="0"/>
          </a:endParaRPr>
        </a:p>
        <a:p>
          <a:pPr marL="0" marR="0" indent="0" defTabSz="914400" eaLnBrk="1" fontAlgn="auto" latinLnBrk="0" hangingPunct="1">
            <a:lnSpc>
              <a:spcPct val="100000"/>
            </a:lnSpc>
            <a:spcBef>
              <a:spcPts val="0"/>
            </a:spcBef>
            <a:spcAft>
              <a:spcPts val="0"/>
            </a:spcAft>
            <a:buClrTx/>
            <a:buSzTx/>
            <a:buFontTx/>
            <a:buNone/>
            <a:tabLst/>
            <a:defRPr/>
          </a:pPr>
          <a:endParaRPr lang="en-GB" sz="1100" b="0" baseline="0">
            <a:latin typeface="Montserrat" pitchFamily="2" charset="0"/>
          </a:endParaRP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9</xdr:col>
      <xdr:colOff>621954</xdr:colOff>
      <xdr:row>1</xdr:row>
      <xdr:rowOff>197757</xdr:rowOff>
    </xdr:from>
    <xdr:to>
      <xdr:col>21</xdr:col>
      <xdr:colOff>619499</xdr:colOff>
      <xdr:row>28</xdr:row>
      <xdr:rowOff>-1</xdr:rowOff>
    </xdr:to>
    <xdr:sp macro="" textlink="">
      <xdr:nvSpPr>
        <xdr:cNvPr id="4" name="TextBox 3">
          <a:extLst>
            <a:ext uri="{FF2B5EF4-FFF2-40B4-BE49-F238E27FC236}">
              <a16:creationId xmlns:a16="http://schemas.microsoft.com/office/drawing/2014/main" id="{AEB351C8-31D1-4DB8-B5E1-8A26ACAE63FB}"/>
            </a:ext>
          </a:extLst>
        </xdr:cNvPr>
        <xdr:cNvSpPr txBox="1"/>
      </xdr:nvSpPr>
      <xdr:spPr>
        <a:xfrm>
          <a:off x="11170892" y="404132"/>
          <a:ext cx="7522295" cy="5382305"/>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i="0">
              <a:solidFill>
                <a:schemeClr val="dk1"/>
              </a:solidFill>
              <a:effectLst/>
              <a:latin typeface="Montserrat" panose="00000500000000000000" pitchFamily="2" charset="0"/>
              <a:ea typeface="+mn-ea"/>
              <a:cs typeface="+mn-cs"/>
            </a:rPr>
            <a:t>USER GUIDANCE</a:t>
          </a:r>
          <a:endParaRPr lang="en-GB">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Report in table 1 the sea lice monitoring results during the production period for the ASC </a:t>
          </a:r>
          <a:r>
            <a:rPr lang="en-US" sz="1100" i="1">
              <a:solidFill>
                <a:schemeClr val="dk1"/>
              </a:solidFill>
              <a:effectLst/>
              <a:latin typeface="Montserrat" panose="00000500000000000000" pitchFamily="2" charset="0"/>
              <a:ea typeface="+mn-ea"/>
              <a:cs typeface="+mn-cs"/>
            </a:rPr>
            <a:t>certified</a:t>
          </a:r>
          <a:r>
            <a:rPr lang="en-US" sz="1100">
              <a:solidFill>
                <a:schemeClr val="dk1"/>
              </a:solidFill>
              <a:effectLst/>
              <a:latin typeface="Montserrat" panose="00000500000000000000" pitchFamily="2" charset="0"/>
              <a:ea typeface="+mn-ea"/>
              <a:cs typeface="+mn-cs"/>
            </a:rPr>
            <a:t> or </a:t>
          </a:r>
          <a:r>
            <a:rPr lang="en-US" sz="1100" i="1">
              <a:solidFill>
                <a:schemeClr val="dk1"/>
              </a:solidFill>
              <a:effectLst/>
              <a:latin typeface="Montserrat" panose="00000500000000000000" pitchFamily="2" charset="0"/>
              <a:ea typeface="+mn-ea"/>
              <a:cs typeface="+mn-cs"/>
            </a:rPr>
            <a:t>suspended</a:t>
          </a:r>
          <a:r>
            <a:rPr lang="en-US" sz="1100">
              <a:solidFill>
                <a:schemeClr val="dk1"/>
              </a:solidFill>
              <a:effectLst/>
              <a:latin typeface="Montserrat" panose="00000500000000000000" pitchFamily="2" charset="0"/>
              <a:ea typeface="+mn-ea"/>
              <a:cs typeface="+mn-cs"/>
            </a:rPr>
            <a:t> site with completed production cycles. </a:t>
          </a:r>
        </a:p>
        <a:p>
          <a:endParaRPr lang="en-GB">
            <a:effectLst/>
            <a:latin typeface="Montserrat" panose="00000500000000000000" pitchFamily="2" charset="0"/>
          </a:endParaRPr>
        </a:p>
        <a:p>
          <a:r>
            <a:rPr lang="en-US" sz="1100" b="1" u="sng">
              <a:solidFill>
                <a:schemeClr val="dk1"/>
              </a:solidFill>
              <a:effectLst/>
              <a:latin typeface="Montserrat" panose="00000500000000000000" pitchFamily="2" charset="0"/>
              <a:ea typeface="+mn-ea"/>
              <a:cs typeface="+mn-cs"/>
            </a:rPr>
            <a:t>TABLE 1. Sea lice monitoring </a:t>
          </a:r>
          <a:endParaRPr lang="en-GB">
            <a:effectLst/>
            <a:latin typeface="Montserrat" panose="00000500000000000000" pitchFamily="2" charset="0"/>
          </a:endParaRPr>
        </a:p>
        <a:p>
          <a:r>
            <a:rPr lang="en-US" sz="1100" b="1">
              <a:solidFill>
                <a:schemeClr val="dk1"/>
              </a:solidFill>
              <a:effectLst/>
              <a:latin typeface="Montserrat" panose="00000500000000000000" pitchFamily="2" charset="0"/>
              <a:ea typeface="+mn-ea"/>
              <a:cs typeface="+mn-cs"/>
            </a:rPr>
            <a:t>Date (dd-mm-yyyy)</a:t>
          </a:r>
          <a:r>
            <a:rPr lang="en-US" sz="1100">
              <a:solidFill>
                <a:schemeClr val="dk1"/>
              </a:solidFill>
              <a:effectLst/>
              <a:latin typeface="Montserrat" panose="00000500000000000000" pitchFamily="2" charset="0"/>
              <a:ea typeface="+mn-ea"/>
              <a:cs typeface="+mn-cs"/>
            </a:rPr>
            <a:t>(Mandatory field)</a:t>
          </a:r>
          <a:endParaRPr lang="en-GB">
            <a:effectLst/>
            <a:latin typeface="Montserrat" panose="00000500000000000000" pitchFamily="2" charset="0"/>
          </a:endParaRPr>
        </a:p>
        <a:p>
          <a:r>
            <a:rPr lang="en-GB" sz="1100">
              <a:solidFill>
                <a:schemeClr val="dk1"/>
              </a:solidFill>
              <a:effectLst/>
              <a:latin typeface="Montserrat" panose="00000500000000000000" pitchFamily="2" charset="0"/>
              <a:ea typeface="+mn-ea"/>
              <a:cs typeface="+mn-cs"/>
            </a:rPr>
            <a:t>Provide</a:t>
          </a:r>
          <a:r>
            <a:rPr lang="en-GB" sz="1100" baseline="0">
              <a:solidFill>
                <a:schemeClr val="dk1"/>
              </a:solidFill>
              <a:effectLst/>
              <a:latin typeface="Montserrat" panose="00000500000000000000" pitchFamily="2" charset="0"/>
              <a:ea typeface="+mn-ea"/>
              <a:cs typeface="+mn-cs"/>
            </a:rPr>
            <a:t> the d</a:t>
          </a:r>
          <a:r>
            <a:rPr lang="en-US" sz="1100">
              <a:solidFill>
                <a:schemeClr val="dk1"/>
              </a:solidFill>
              <a:effectLst/>
              <a:latin typeface="Montserrat" panose="00000500000000000000" pitchFamily="2" charset="0"/>
              <a:ea typeface="+mn-ea"/>
              <a:cs typeface="+mn-cs"/>
            </a:rPr>
            <a:t>ate when the sampling occurred. Where farms monitoring using </a:t>
          </a:r>
          <a:r>
            <a:rPr lang="en-US" sz="1100" i="1">
              <a:solidFill>
                <a:schemeClr val="dk1"/>
              </a:solidFill>
              <a:effectLst/>
              <a:latin typeface="Montserrat" panose="00000500000000000000" pitchFamily="2" charset="0"/>
              <a:ea typeface="+mn-ea"/>
              <a:cs typeface="+mn-cs"/>
            </a:rPr>
            <a:t>'Year (yyyy)' </a:t>
          </a:r>
          <a:r>
            <a:rPr lang="en-US" sz="1100">
              <a:solidFill>
                <a:schemeClr val="dk1"/>
              </a:solidFill>
              <a:effectLst/>
              <a:latin typeface="Montserrat" panose="00000500000000000000" pitchFamily="2" charset="0"/>
              <a:ea typeface="+mn-ea"/>
              <a:cs typeface="+mn-cs"/>
            </a:rPr>
            <a:t>and </a:t>
          </a:r>
          <a:r>
            <a:rPr lang="en-US" sz="1100" i="1">
              <a:solidFill>
                <a:schemeClr val="dk1"/>
              </a:solidFill>
              <a:effectLst/>
              <a:latin typeface="Montserrat" panose="00000500000000000000" pitchFamily="2" charset="0"/>
              <a:ea typeface="+mn-ea"/>
              <a:cs typeface="+mn-cs"/>
            </a:rPr>
            <a:t>'Week (ww)', </a:t>
          </a:r>
          <a:r>
            <a:rPr lang="en-US" sz="1100">
              <a:solidFill>
                <a:schemeClr val="dk1"/>
              </a:solidFill>
              <a:effectLst/>
              <a:latin typeface="Montserrat" panose="00000500000000000000" pitchFamily="2" charset="0"/>
              <a:ea typeface="+mn-ea"/>
              <a:cs typeface="+mn-cs"/>
            </a:rPr>
            <a:t>proceed to the next two fields</a:t>
          </a:r>
          <a:r>
            <a:rPr lang="en-US" sz="1100" baseline="0">
              <a:solidFill>
                <a:schemeClr val="dk1"/>
              </a:solidFill>
              <a:effectLst/>
              <a:latin typeface="Montserrat" panose="00000500000000000000" pitchFamily="2" charset="0"/>
              <a:ea typeface="+mn-ea"/>
              <a:cs typeface="+mn-cs"/>
            </a:rPr>
            <a:t> and </a:t>
          </a:r>
          <a:r>
            <a:rPr lang="en-US" sz="1100">
              <a:solidFill>
                <a:schemeClr val="dk1"/>
              </a:solidFill>
              <a:effectLst/>
              <a:latin typeface="Montserrat" panose="00000500000000000000" pitchFamily="2" charset="0"/>
              <a:ea typeface="+mn-ea"/>
              <a:cs typeface="+mn-cs"/>
            </a:rPr>
            <a:t>this field can be left blank.</a:t>
          </a:r>
        </a:p>
        <a:p>
          <a:endParaRPr lang="en-US" sz="1100">
            <a:solidFill>
              <a:schemeClr val="dk1"/>
            </a:solidFill>
            <a:effectLst/>
            <a:latin typeface="Montserrat" panose="00000500000000000000" pitchFamily="2" charset="0"/>
            <a:ea typeface="+mn-ea"/>
            <a:cs typeface="+mn-cs"/>
          </a:endParaRPr>
        </a:p>
        <a:p>
          <a:r>
            <a:rPr lang="en-US" sz="1100" b="1">
              <a:solidFill>
                <a:schemeClr val="dk1"/>
              </a:solidFill>
              <a:effectLst/>
              <a:latin typeface="Montserrat" pitchFamily="2" charset="0"/>
              <a:ea typeface="+mn-ea"/>
              <a:cs typeface="+mn-cs"/>
            </a:rPr>
            <a:t>Week (ww)</a:t>
          </a:r>
          <a:r>
            <a:rPr lang="en-US"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week the sampling occurred. If the full date is provided in the previous field, this field can be left blank.</a:t>
          </a:r>
        </a:p>
        <a:p>
          <a:endParaRPr lang="en-GB">
            <a:effectLst/>
            <a:latin typeface="Montserrat" panose="00000500000000000000" pitchFamily="2" charset="0"/>
          </a:endParaRPr>
        </a:p>
        <a:p>
          <a:r>
            <a:rPr lang="en-US" sz="1100" b="1">
              <a:solidFill>
                <a:schemeClr val="dk1"/>
              </a:solidFill>
              <a:effectLst/>
              <a:latin typeface="Montserrat" panose="00000500000000000000" pitchFamily="2" charset="0"/>
              <a:ea typeface="+mn-ea"/>
              <a:cs typeface="+mn-cs"/>
            </a:rPr>
            <a:t>Year (yyyy)</a:t>
          </a:r>
          <a:r>
            <a:rPr lang="en-US" sz="1100">
              <a:solidFill>
                <a:schemeClr val="dk1"/>
              </a:solidFill>
              <a:effectLst/>
              <a:latin typeface="Montserrat" panose="00000500000000000000" pitchFamily="2" charset="0"/>
              <a:ea typeface="+mn-ea"/>
              <a:cs typeface="+mn-cs"/>
            </a:rPr>
            <a:t> (Mandatory field)</a:t>
          </a:r>
          <a:endParaRPr lang="en-GB">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Provide the year the sampling occurred. If the full date is provided in the previous field, this field can be left blank.</a:t>
          </a:r>
          <a:endParaRPr lang="en-GB">
            <a:effectLst/>
            <a:latin typeface="Montserrat" panose="00000500000000000000" pitchFamily="2" charset="0"/>
          </a:endParaRPr>
        </a:p>
        <a:p>
          <a:endParaRPr lang="en-GB">
            <a:effectLst/>
            <a:latin typeface="Montserrat" panose="00000500000000000000" pitchFamily="2" charset="0"/>
          </a:endParaRPr>
        </a:p>
        <a:p>
          <a:r>
            <a:rPr lang="en-US" sz="1100" b="1">
              <a:solidFill>
                <a:schemeClr val="dk1"/>
              </a:solidFill>
              <a:effectLst/>
              <a:latin typeface="Montserrat" panose="00000500000000000000" pitchFamily="2" charset="0"/>
              <a:ea typeface="+mn-ea"/>
              <a:cs typeface="+mn-cs"/>
            </a:rPr>
            <a:t>Sea lice species (select)</a:t>
          </a:r>
          <a:r>
            <a:rPr lang="en-US" sz="1100">
              <a:solidFill>
                <a:schemeClr val="dk1"/>
              </a:solidFill>
              <a:effectLst/>
              <a:latin typeface="Montserrat" panose="00000500000000000000" pitchFamily="2" charset="0"/>
              <a:ea typeface="+mn-ea"/>
              <a:cs typeface="+mn-cs"/>
            </a:rPr>
            <a:t> (Mandatory field)</a:t>
          </a:r>
          <a:endParaRPr lang="en-GB">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Select from the dropdown the sea lice species for which the average sea lice count is reported for. If the sea lice species is not a listed option, please type out the latin name of the reported sea lice species.</a:t>
          </a:r>
        </a:p>
        <a:p>
          <a:endParaRPr lang="en-GB">
            <a:effectLst/>
            <a:latin typeface="Montserrat" panose="00000500000000000000" pitchFamily="2" charset="0"/>
          </a:endParaRPr>
        </a:p>
        <a:p>
          <a:r>
            <a:rPr lang="en-US" sz="1100" b="1">
              <a:solidFill>
                <a:schemeClr val="dk1"/>
              </a:solidFill>
              <a:effectLst/>
              <a:latin typeface="Montserrat" panose="00000500000000000000" pitchFamily="2" charset="0"/>
              <a:ea typeface="+mn-ea"/>
              <a:cs typeface="+mn-cs"/>
            </a:rPr>
            <a:t>Life stage (select)</a:t>
          </a:r>
          <a:r>
            <a:rPr lang="en-US" sz="1100">
              <a:solidFill>
                <a:schemeClr val="dk1"/>
              </a:solidFill>
              <a:effectLst/>
              <a:latin typeface="Montserrat" panose="00000500000000000000" pitchFamily="2" charset="0"/>
              <a:ea typeface="+mn-ea"/>
              <a:cs typeface="+mn-cs"/>
            </a:rPr>
            <a:t> (Mandatory field)</a:t>
          </a:r>
          <a:endParaRPr lang="en-GB">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Select from the dropdown the life stage for </a:t>
          </a:r>
          <a:r>
            <a:rPr lang="en-US" sz="1100" i="0">
              <a:solidFill>
                <a:schemeClr val="dk1"/>
              </a:solidFill>
              <a:effectLst/>
              <a:latin typeface="Montserrat" panose="00000500000000000000" pitchFamily="2" charset="0"/>
              <a:ea typeface="+mn-ea"/>
              <a:cs typeface="+mn-cs"/>
            </a:rPr>
            <a:t>which the average sea lice count is reported for.</a:t>
          </a:r>
        </a:p>
        <a:p>
          <a:endParaRPr lang="en-GB">
            <a:effectLst/>
            <a:latin typeface="Montserrat" panose="00000500000000000000" pitchFamily="2" charset="0"/>
          </a:endParaRPr>
        </a:p>
        <a:p>
          <a:r>
            <a:rPr lang="en-US" sz="1100" b="1">
              <a:solidFill>
                <a:schemeClr val="dk1"/>
              </a:solidFill>
              <a:effectLst/>
              <a:latin typeface="Montserrat" panose="00000500000000000000" pitchFamily="2" charset="0"/>
              <a:ea typeface="+mn-ea"/>
              <a:cs typeface="+mn-cs"/>
            </a:rPr>
            <a:t>Average sea lice count (#/fish)</a:t>
          </a:r>
          <a:r>
            <a:rPr lang="en-US" sz="1100">
              <a:solidFill>
                <a:schemeClr val="dk1"/>
              </a:solidFill>
              <a:effectLst/>
              <a:latin typeface="Montserrat" panose="00000500000000000000" pitchFamily="2" charset="0"/>
              <a:ea typeface="+mn-ea"/>
              <a:cs typeface="+mn-cs"/>
            </a:rPr>
            <a:t> (Mandatory field)</a:t>
          </a:r>
          <a:endParaRPr lang="en-GB">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Provide the average number of sea lice per fish for the indicated </a:t>
          </a:r>
          <a:r>
            <a:rPr lang="en-US" sz="1100" i="1">
              <a:solidFill>
                <a:schemeClr val="dk1"/>
              </a:solidFill>
              <a:effectLst/>
              <a:latin typeface="Montserrat" panose="00000500000000000000" pitchFamily="2" charset="0"/>
              <a:ea typeface="+mn-ea"/>
              <a:cs typeface="+mn-cs"/>
            </a:rPr>
            <a:t>'Sea lice species'</a:t>
          </a:r>
          <a:r>
            <a:rPr lang="en-US" sz="1100">
              <a:solidFill>
                <a:schemeClr val="dk1"/>
              </a:solidFill>
              <a:effectLst/>
              <a:latin typeface="Montserrat" panose="00000500000000000000" pitchFamily="2" charset="0"/>
              <a:ea typeface="+mn-ea"/>
              <a:cs typeface="+mn-cs"/>
            </a:rPr>
            <a:t> and </a:t>
          </a:r>
          <a:r>
            <a:rPr lang="en-US" sz="1100" i="1">
              <a:solidFill>
                <a:schemeClr val="dk1"/>
              </a:solidFill>
              <a:effectLst/>
              <a:latin typeface="Montserrat" panose="00000500000000000000" pitchFamily="2" charset="0"/>
              <a:ea typeface="+mn-ea"/>
              <a:cs typeface="+mn-cs"/>
            </a:rPr>
            <a:t>'Life stage'</a:t>
          </a:r>
          <a:r>
            <a:rPr lang="en-US" sz="1100">
              <a:solidFill>
                <a:schemeClr val="dk1"/>
              </a:solidFill>
              <a:effectLst/>
              <a:latin typeface="Montserrat" panose="00000500000000000000" pitchFamily="2" charset="0"/>
              <a:ea typeface="+mn-ea"/>
              <a:cs typeface="+mn-cs"/>
            </a:rPr>
            <a:t>.</a:t>
          </a:r>
        </a:p>
        <a:p>
          <a:endParaRPr lang="en-GB">
            <a:effectLst/>
            <a:latin typeface="Montserrat" panose="00000500000000000000" pitchFamily="2" charset="0"/>
          </a:endParaRPr>
        </a:p>
        <a:p>
          <a:r>
            <a:rPr lang="en-US" sz="1100" b="1">
              <a:solidFill>
                <a:schemeClr val="dk1"/>
              </a:solidFill>
              <a:effectLst/>
              <a:latin typeface="Montserrat" panose="00000500000000000000" pitchFamily="2" charset="0"/>
              <a:ea typeface="+mn-ea"/>
              <a:cs typeface="+mn-cs"/>
            </a:rPr>
            <a:t>Notes </a:t>
          </a:r>
          <a:r>
            <a:rPr lang="en-US" sz="1100">
              <a:solidFill>
                <a:schemeClr val="dk1"/>
              </a:solidFill>
              <a:effectLst/>
              <a:latin typeface="Montserrat" panose="00000500000000000000" pitchFamily="2" charset="0"/>
              <a:ea typeface="+mn-ea"/>
              <a:cs typeface="+mn-cs"/>
            </a:rPr>
            <a:t>(Voluntary field)</a:t>
          </a:r>
          <a:endParaRPr lang="en-GB">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This field may be used to provide any other relevant information or clarifications.</a:t>
          </a:r>
          <a:endParaRPr lang="en-GB">
            <a:effectLst/>
            <a:latin typeface="Montserrat" panose="00000500000000000000" pitchFamily="2" charset="0"/>
          </a:endParaRPr>
        </a:p>
        <a:p>
          <a:endParaRPr lang="en-US" sz="1100">
            <a:solidFill>
              <a:schemeClr val="dk1"/>
            </a:solidFill>
            <a:effectLst/>
            <a:latin typeface="Montserrat" panose="00000500000000000000" pitchFamily="2" charset="0"/>
            <a:ea typeface="+mn-ea"/>
            <a:cs typeface="+mn-cs"/>
          </a:endParaRPr>
        </a:p>
        <a:p>
          <a:pPr eaLnBrk="1" fontAlgn="auto" latinLnBrk="0" hangingPunct="1"/>
          <a:endParaRPr lang="en-US" sz="1100" b="0" i="0">
            <a:solidFill>
              <a:schemeClr val="dk1"/>
            </a:solidFill>
            <a:effectLst/>
            <a:latin typeface="Montserrat" panose="00000500000000000000" pitchFamily="2" charset="0"/>
            <a:ea typeface="+mn-ea"/>
            <a:cs typeface="+mn-cs"/>
          </a:endParaRPr>
        </a:p>
        <a:p>
          <a:pPr eaLnBrk="1" fontAlgn="auto" latinLnBrk="0" hangingPunct="1"/>
          <a:endParaRPr lang="en-US" sz="1100" b="0" i="0">
            <a:solidFill>
              <a:schemeClr val="dk1"/>
            </a:solidFill>
            <a:effectLst/>
            <a:latin typeface="Montserrat" panose="00000500000000000000" pitchFamily="2" charset="0"/>
            <a:ea typeface="+mn-ea"/>
            <a:cs typeface="+mn-cs"/>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15</xdr:col>
      <xdr:colOff>209550</xdr:colOff>
      <xdr:row>17</xdr:row>
      <xdr:rowOff>82550</xdr:rowOff>
    </xdr:from>
    <xdr:to>
      <xdr:col>19</xdr:col>
      <xdr:colOff>1657350</xdr:colOff>
      <xdr:row>56</xdr:row>
      <xdr:rowOff>54405</xdr:rowOff>
    </xdr:to>
    <xdr:sp macro="" textlink="">
      <xdr:nvSpPr>
        <xdr:cNvPr id="3" name="TextBox 1">
          <a:extLst>
            <a:ext uri="{FF2B5EF4-FFF2-40B4-BE49-F238E27FC236}">
              <a16:creationId xmlns:a16="http://schemas.microsoft.com/office/drawing/2014/main" id="{00000000-0008-0000-2200-000002000000}"/>
            </a:ext>
          </a:extLst>
        </xdr:cNvPr>
        <xdr:cNvSpPr txBox="1"/>
      </xdr:nvSpPr>
      <xdr:spPr>
        <a:xfrm>
          <a:off x="18107025" y="3159125"/>
          <a:ext cx="6029325" cy="7029880"/>
        </a:xfrm>
        <a:prstGeom prst="rect">
          <a:avLst/>
        </a:prstGeom>
        <a:solidFill>
          <a:schemeClr val="bg2">
            <a:lumMod val="9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t>Formatting:</a:t>
          </a:r>
        </a:p>
        <a:p>
          <a:r>
            <a:rPr lang="en-US" sz="1100" b="0"/>
            <a:t>! We</a:t>
          </a:r>
          <a:r>
            <a:rPr lang="en-US" sz="1100" b="0" baseline="0"/>
            <a:t> may have to format Site name, Site ID, Species ID to tables, so also the dropdown menus in the seperate sheets will expand automatically whenever list gets very long (may be for shrimp producers).</a:t>
          </a:r>
          <a:endParaRPr lang="en-US" sz="1100" b="0"/>
        </a:p>
        <a:p>
          <a:endParaRPr lang="en-US" sz="1100" b="1"/>
        </a:p>
        <a:p>
          <a:endParaRPr lang="en-US" sz="1100" b="1"/>
        </a:p>
        <a:p>
          <a:r>
            <a:rPr lang="en-US" sz="1100" b="1"/>
            <a:t>Site</a:t>
          </a:r>
          <a:r>
            <a:rPr lang="en-US" sz="1100" b="1" baseline="0"/>
            <a:t> name, ASC site ID, Cycle ID, Species in production</a:t>
          </a:r>
        </a:p>
        <a:p>
          <a:r>
            <a:rPr lang="en-US" sz="1100" baseline="0"/>
            <a:t>Custom format s</a:t>
          </a:r>
          <a:r>
            <a:rPr lang="en-US" sz="1100"/>
            <a:t>o no '0' are shown for calculations</a:t>
          </a:r>
          <a:r>
            <a:rPr lang="en-US" sz="1100" baseline="0"/>
            <a:t> or if no data present</a:t>
          </a:r>
        </a:p>
        <a:p>
          <a:r>
            <a:rPr lang="en-US" sz="1100">
              <a:solidFill>
                <a:schemeClr val="dk1"/>
              </a:solidFill>
              <a:effectLst/>
              <a:latin typeface="+mn-lt"/>
              <a:ea typeface="+mn-ea"/>
              <a:cs typeface="+mn-cs"/>
            </a:rPr>
            <a:t>0;0;;@ s</a:t>
          </a:r>
          <a:endParaRPr lang="en-US" sz="1100" baseline="0"/>
        </a:p>
        <a:p>
          <a:endParaRPr lang="en-US" sz="1100" b="1" i="0"/>
        </a:p>
        <a:p>
          <a:endParaRPr lang="en-US" sz="1100"/>
        </a:p>
        <a:p>
          <a:r>
            <a:rPr lang="en-US" sz="1100" b="1"/>
            <a:t>Distinct Site name, Distinct ASC site ID, Distinct Species in production</a:t>
          </a:r>
        </a:p>
        <a:p>
          <a:r>
            <a:rPr lang="en-US" sz="1100"/>
            <a:t>Creates</a:t>
          </a:r>
          <a:r>
            <a:rPr lang="en-US" sz="1100" baseline="0"/>
            <a:t> distinct combinations of Site and species with the unique function. Used in templates for aggregating recorded data over species and site</a:t>
          </a:r>
        </a:p>
        <a:p>
          <a:r>
            <a:rPr lang="en-US" sz="1100"/>
            <a:t>=UNIQUE(A3:C77)</a:t>
          </a:r>
        </a:p>
        <a:p>
          <a:endParaRPr lang="en-US" sz="1100"/>
        </a:p>
        <a:p>
          <a:endParaRPr lang="en-US" sz="1100"/>
        </a:p>
        <a:p>
          <a:endParaRPr lang="en-US" sz="1100"/>
        </a:p>
        <a:p>
          <a:r>
            <a:rPr lang="en-US" sz="1100" b="0" i="0">
              <a:solidFill>
                <a:schemeClr val="dk1"/>
              </a:solidFill>
              <a:effectLst/>
              <a:latin typeface="+mn-lt"/>
              <a:ea typeface="+mn-ea"/>
              <a:cs typeface="+mn-cs"/>
            </a:rPr>
            <a:t>=</a:t>
          </a:r>
          <a:r>
            <a:rPr lang="en-US" sz="1100" b="0" i="0" u="none" strike="noStrike">
              <a:solidFill>
                <a:schemeClr val="dk1"/>
              </a:solidFill>
              <a:effectLst/>
              <a:latin typeface="+mn-lt"/>
              <a:ea typeface="+mn-ea"/>
              <a:cs typeface="+mn-cs"/>
              <a:hlinkClick xmlns:r="http://schemas.openxmlformats.org/officeDocument/2006/relationships" r:id=""/>
            </a:rPr>
            <a:t>UNIQUE</a:t>
          </a:r>
          <a:r>
            <a:rPr lang="en-US" sz="1100" b="0" i="0">
              <a:solidFill>
                <a:schemeClr val="dk1"/>
              </a:solidFill>
              <a:effectLst/>
              <a:latin typeface="+mn-lt"/>
              <a:ea typeface="+mn-ea"/>
              <a:cs typeface="+mn-cs"/>
            </a:rPr>
            <a:t>(</a:t>
          </a:r>
          <a:r>
            <a:rPr lang="en-US" sz="1100" b="0" i="0" u="none" strike="noStrike">
              <a:solidFill>
                <a:schemeClr val="dk1"/>
              </a:solidFill>
              <a:effectLst/>
              <a:latin typeface="+mn-lt"/>
              <a:ea typeface="+mn-ea"/>
              <a:cs typeface="+mn-cs"/>
              <a:hlinkClick xmlns:r="http://schemas.openxmlformats.org/officeDocument/2006/relationships" r:id=""/>
            </a:rPr>
            <a:t>FILTER</a:t>
          </a:r>
          <a:r>
            <a:rPr lang="en-US" sz="1100" b="0" i="0">
              <a:solidFill>
                <a:schemeClr val="dk1"/>
              </a:solidFill>
              <a:effectLst/>
              <a:latin typeface="+mn-lt"/>
              <a:ea typeface="+mn-ea"/>
              <a:cs typeface="+mn-cs"/>
            </a:rPr>
            <a:t>(B5:B16,B5:B16&lt;&gt;""))</a:t>
          </a:r>
          <a:endParaRPr lang="en-NL"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13</xdr:col>
      <xdr:colOff>621566</xdr:colOff>
      <xdr:row>1</xdr:row>
      <xdr:rowOff>207964</xdr:rowOff>
    </xdr:from>
    <xdr:to>
      <xdr:col>25</xdr:col>
      <xdr:colOff>620184</xdr:colOff>
      <xdr:row>42</xdr:row>
      <xdr:rowOff>202406</xdr:rowOff>
    </xdr:to>
    <xdr:sp macro="" textlink="">
      <xdr:nvSpPr>
        <xdr:cNvPr id="5" name="TextBox 1">
          <a:extLst>
            <a:ext uri="{FF2B5EF4-FFF2-40B4-BE49-F238E27FC236}">
              <a16:creationId xmlns:a16="http://schemas.microsoft.com/office/drawing/2014/main" id="{00000000-0008-0000-1400-000002000000}"/>
            </a:ext>
          </a:extLst>
        </xdr:cNvPr>
        <xdr:cNvSpPr txBox="1"/>
      </xdr:nvSpPr>
      <xdr:spPr>
        <a:xfrm>
          <a:off x="15802035" y="422277"/>
          <a:ext cx="7570993" cy="8995567"/>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ontserrat" panose="00000500000000000000" pitchFamily="2" charset="0"/>
              <a:ea typeface="+mn-ea"/>
              <a:cs typeface="+mn-cs"/>
            </a:rPr>
            <a:t>USER GUIDANCE</a:t>
          </a:r>
          <a:endParaRPr lang="de-DE" sz="1100" b="0">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a:effectLst/>
              <a:latin typeface="Montserrat" panose="00000500000000000000" pitchFamily="2" charset="0"/>
            </a:rPr>
            <a:t>Report in table 1 all the relevant information on all escape events that occurred during the production period at the</a:t>
          </a:r>
          <a:r>
            <a:rPr lang="en-US" baseline="0">
              <a:effectLst/>
              <a:latin typeface="Montserrat" panose="00000500000000000000" pitchFamily="2" charset="0"/>
            </a:rPr>
            <a:t> </a:t>
          </a:r>
          <a:r>
            <a:rPr lang="en-US" i="1" baseline="0">
              <a:effectLst/>
              <a:latin typeface="Montserrat" panose="00000500000000000000" pitchFamily="2" charset="0"/>
            </a:rPr>
            <a:t>AS</a:t>
          </a:r>
          <a:r>
            <a:rPr lang="en-US" i="1">
              <a:effectLst/>
              <a:latin typeface="Montserrat" panose="00000500000000000000" pitchFamily="2" charset="0"/>
            </a:rPr>
            <a:t>C</a:t>
          </a:r>
          <a:r>
            <a:rPr lang="en-US">
              <a:effectLst/>
              <a:latin typeface="Montserrat" panose="00000500000000000000" pitchFamily="2" charset="0"/>
            </a:rPr>
            <a:t> </a:t>
          </a:r>
          <a:r>
            <a:rPr lang="en-US" i="1">
              <a:effectLst/>
              <a:latin typeface="Montserrat" panose="00000500000000000000" pitchFamily="2" charset="0"/>
            </a:rPr>
            <a:t>certified </a:t>
          </a:r>
          <a:r>
            <a:rPr lang="en-US">
              <a:effectLst/>
              <a:latin typeface="Montserrat" panose="00000500000000000000" pitchFamily="2" charset="0"/>
            </a:rPr>
            <a:t>or </a:t>
          </a:r>
          <a:r>
            <a:rPr lang="en-US" i="1">
              <a:effectLst/>
              <a:latin typeface="Montserrat" panose="00000500000000000000" pitchFamily="2" charset="0"/>
            </a:rPr>
            <a:t>suspended</a:t>
          </a:r>
          <a:r>
            <a:rPr lang="en-US">
              <a:effectLst/>
              <a:latin typeface="Montserrat" panose="00000500000000000000" pitchFamily="2" charset="0"/>
            </a:rPr>
            <a:t> site. In case no escape</a:t>
          </a:r>
          <a:r>
            <a:rPr lang="en-US" baseline="0">
              <a:effectLst/>
              <a:latin typeface="Montserrat" panose="00000500000000000000" pitchFamily="2" charset="0"/>
            </a:rPr>
            <a:t> events</a:t>
          </a:r>
          <a:r>
            <a:rPr lang="en-US">
              <a:effectLst/>
              <a:latin typeface="Montserrat" panose="00000500000000000000" pitchFamily="2" charset="0"/>
            </a:rPr>
            <a:t> were recorded, no reporting is required in table 1.</a:t>
          </a:r>
        </a:p>
        <a:p>
          <a:pPr marL="0" marR="0" lvl="0" indent="0" defTabSz="914400" eaLnBrk="1" fontAlgn="auto" latinLnBrk="0" hangingPunct="1">
            <a:lnSpc>
              <a:spcPct val="100000"/>
            </a:lnSpc>
            <a:spcBef>
              <a:spcPts val="0"/>
            </a:spcBef>
            <a:spcAft>
              <a:spcPts val="0"/>
            </a:spcAft>
            <a:buClrTx/>
            <a:buSzTx/>
            <a:buFontTx/>
            <a:buNone/>
            <a:tabLst/>
            <a:defRPr/>
          </a:pPr>
          <a:endParaRPr lang="en-US">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a:effectLst/>
              <a:latin typeface="Montserrat" panose="00000500000000000000" pitchFamily="2" charset="0"/>
            </a:rPr>
            <a:t>In table 2 the total known escapes is calculated per species per site. All relevant production data is autopopulated from the 'Site and production details' tab. If no escapes are reported in Table 1, zero</a:t>
          </a:r>
          <a:r>
            <a:rPr lang="en-US" baseline="0">
              <a:effectLst/>
              <a:latin typeface="Montserrat" panose="00000500000000000000" pitchFamily="2" charset="0"/>
            </a:rPr>
            <a:t> (0)</a:t>
          </a:r>
          <a:r>
            <a:rPr lang="en-US">
              <a:effectLst/>
              <a:latin typeface="Montserrat" panose="00000500000000000000" pitchFamily="2" charset="0"/>
            </a:rPr>
            <a:t> will be automatically shown int table 2.</a:t>
          </a:r>
        </a:p>
        <a:p>
          <a:pPr eaLnBrk="1" fontAlgn="auto" latinLnBrk="0" hangingPunct="1"/>
          <a:endParaRPr lang="en-GB" sz="1100" b="0" baseline="0">
            <a:solidFill>
              <a:schemeClr val="dk1"/>
            </a:solidFill>
            <a:effectLst/>
            <a:latin typeface="Montserrat" panose="00000500000000000000" pitchFamily="2" charset="0"/>
            <a:ea typeface="+mn-ea"/>
            <a:cs typeface="+mn-cs"/>
          </a:endParaRPr>
        </a:p>
        <a:p>
          <a:pPr eaLnBrk="1" fontAlgn="auto" latinLnBrk="0" hangingPunct="1"/>
          <a:r>
            <a:rPr lang="en-GB" sz="1100" b="1" u="sng" baseline="0">
              <a:solidFill>
                <a:schemeClr val="dk1"/>
              </a:solidFill>
              <a:effectLst/>
              <a:latin typeface="Montserrat" panose="00000500000000000000" pitchFamily="2" charset="0"/>
              <a:ea typeface="+mn-ea"/>
              <a:cs typeface="+mn-cs"/>
            </a:rPr>
            <a:t>TABLE 1. Known escapes reporting</a:t>
          </a:r>
          <a:endParaRPr lang="en-GB" sz="1100">
            <a:solidFill>
              <a:schemeClr val="dk1"/>
            </a:solidFill>
            <a:effectLst/>
            <a:latin typeface="Montserrat" panose="00000500000000000000" pitchFamily="2" charset="0"/>
            <a:ea typeface="+mn-ea"/>
            <a:cs typeface="+mn-cs"/>
          </a:endParaRPr>
        </a:p>
        <a:p>
          <a:r>
            <a:rPr lang="en-GB" sz="1100" b="1">
              <a:solidFill>
                <a:schemeClr val="dk1"/>
              </a:solidFill>
              <a:effectLst/>
              <a:latin typeface="Montserrat" panose="00000500000000000000" pitchFamily="2" charset="0"/>
              <a:ea typeface="+mn-ea"/>
              <a:cs typeface="+mn-cs"/>
            </a:rPr>
            <a:t>Species in production (Latin name) (select)</a:t>
          </a:r>
          <a:r>
            <a:rPr lang="en-GB" sz="1100">
              <a:solidFill>
                <a:schemeClr val="dk1"/>
              </a:solidFill>
              <a:effectLst/>
              <a:latin typeface="Montserrat" panose="00000500000000000000" pitchFamily="2" charset="0"/>
              <a:ea typeface="+mn-ea"/>
              <a:cs typeface="+mn-cs"/>
            </a:rPr>
            <a:t> (Mandatory field)</a:t>
          </a:r>
          <a:endParaRPr lang="en-NL">
            <a:effectLst/>
            <a:latin typeface="Montserrat" panose="00000500000000000000" pitchFamily="2" charset="0"/>
          </a:endParaRPr>
        </a:p>
        <a:p>
          <a:r>
            <a:rPr lang="en-GB" sz="1100">
              <a:solidFill>
                <a:schemeClr val="dk1"/>
              </a:solidFill>
              <a:effectLst/>
              <a:latin typeface="Montserrat" panose="00000500000000000000" pitchFamily="2" charset="0"/>
              <a:ea typeface="+mn-ea"/>
              <a:cs typeface="+mn-cs"/>
            </a:rPr>
            <a:t>Select the escaped species using the dropdown menu. The selection</a:t>
          </a:r>
          <a:r>
            <a:rPr lang="en-GB" sz="1100" baseline="0">
              <a:solidFill>
                <a:schemeClr val="dk1"/>
              </a:solidFill>
              <a:effectLst/>
              <a:latin typeface="Montserrat" panose="00000500000000000000" pitchFamily="2" charset="0"/>
              <a:ea typeface="+mn-ea"/>
              <a:cs typeface="+mn-cs"/>
            </a:rPr>
            <a:t> option is based </a:t>
          </a:r>
          <a:r>
            <a:rPr lang="en-GB" sz="1100">
              <a:solidFill>
                <a:schemeClr val="dk1"/>
              </a:solidFill>
              <a:effectLst/>
              <a:latin typeface="Montserrat" panose="00000500000000000000" pitchFamily="2" charset="0"/>
              <a:ea typeface="+mn-ea"/>
              <a:cs typeface="+mn-cs"/>
            </a:rPr>
            <a:t>on the species name provided in the </a:t>
          </a:r>
          <a:r>
            <a:rPr lang="en-US" sz="1100" b="0" i="0" baseline="0">
              <a:solidFill>
                <a:schemeClr val="dk1"/>
              </a:solidFill>
              <a:effectLst/>
              <a:latin typeface="Montserrat" panose="00000500000000000000" pitchFamily="2" charset="0"/>
              <a:ea typeface="+mn-ea"/>
              <a:cs typeface="+mn-cs"/>
            </a:rPr>
            <a:t>'Site and production details</a:t>
          </a:r>
          <a:r>
            <a:rPr lang="en-GB" sz="1100" i="1">
              <a:solidFill>
                <a:schemeClr val="dk1"/>
              </a:solidFill>
              <a:effectLst/>
              <a:latin typeface="Montserrat" panose="00000500000000000000" pitchFamily="2" charset="0"/>
              <a:ea typeface="+mn-ea"/>
              <a:cs typeface="+mn-cs"/>
            </a:rPr>
            <a:t>'</a:t>
          </a:r>
          <a:r>
            <a:rPr lang="en-GB" sz="1100" i="0" baseline="0">
              <a:solidFill>
                <a:schemeClr val="dk1"/>
              </a:solidFill>
              <a:effectLst/>
              <a:latin typeface="Montserrat" panose="00000500000000000000" pitchFamily="2" charset="0"/>
              <a:ea typeface="+mn-ea"/>
              <a:cs typeface="+mn-cs"/>
            </a:rPr>
            <a:t> </a:t>
          </a:r>
          <a:r>
            <a:rPr lang="en-GB" sz="1100">
              <a:solidFill>
                <a:schemeClr val="dk1"/>
              </a:solidFill>
              <a:effectLst/>
              <a:latin typeface="Montserrat" panose="00000500000000000000" pitchFamily="2" charset="0"/>
              <a:ea typeface="+mn-ea"/>
              <a:cs typeface="+mn-cs"/>
            </a:rPr>
            <a:t>tab.</a:t>
          </a:r>
          <a:endParaRPr lang="en-NL">
            <a:effectLst/>
            <a:latin typeface="Montserrat" panose="00000500000000000000" pitchFamily="2" charset="0"/>
          </a:endParaRPr>
        </a:p>
        <a:p>
          <a:endParaRPr lang="en-NL">
            <a:effectLst/>
            <a:latin typeface="Montserrat" panose="00000500000000000000" pitchFamily="2" charset="0"/>
          </a:endParaRPr>
        </a:p>
        <a:p>
          <a:pPr eaLnBrk="1" fontAlgn="auto" latinLnBrk="0" hangingPunct="1"/>
          <a:r>
            <a:rPr lang="en-US" sz="1100" b="1" i="0">
              <a:solidFill>
                <a:schemeClr val="dk1"/>
              </a:solidFill>
              <a:effectLst/>
              <a:latin typeface="Montserrat" panose="00000500000000000000" pitchFamily="2" charset="0"/>
              <a:ea typeface="+mn-ea"/>
              <a:cs typeface="+mn-cs"/>
            </a:rPr>
            <a:t>Cycle ID (select)</a:t>
          </a:r>
          <a:r>
            <a:rPr lang="en-US" sz="1100" b="0" i="0">
              <a:solidFill>
                <a:schemeClr val="dk1"/>
              </a:solidFill>
              <a:effectLst/>
              <a:latin typeface="Montserrat" panose="00000500000000000000" pitchFamily="2" charset="0"/>
              <a:ea typeface="+mn-ea"/>
              <a:cs typeface="+mn-cs"/>
            </a:rPr>
            <a:t> (Voluntary field)</a:t>
          </a:r>
          <a:endParaRPr lang="en-NL" b="0">
            <a:effectLst/>
            <a:latin typeface="Montserrat" panose="00000500000000000000" pitchFamily="2" charset="0"/>
          </a:endParaRPr>
        </a:p>
        <a:p>
          <a:r>
            <a:rPr lang="en-GB" sz="1100" b="0" baseline="0">
              <a:solidFill>
                <a:schemeClr val="dk1"/>
              </a:solidFill>
              <a:effectLst/>
              <a:latin typeface="Montserrat" panose="00000500000000000000" pitchFamily="2" charset="0"/>
              <a:ea typeface="+mn-ea"/>
              <a:cs typeface="+mn-cs"/>
            </a:rPr>
            <a:t>Select the cycle ID the escapes are reported for </a:t>
          </a:r>
          <a:r>
            <a:rPr lang="en-GB" sz="1100">
              <a:solidFill>
                <a:schemeClr val="dk1"/>
              </a:solidFill>
              <a:effectLst/>
              <a:latin typeface="Montserrat" pitchFamily="2" charset="0"/>
              <a:ea typeface="+mn-ea"/>
              <a:cs typeface="+mn-cs"/>
            </a:rPr>
            <a:t>using the dropdown menu.</a:t>
          </a:r>
          <a:r>
            <a:rPr lang="en-GB" sz="1100" b="0" baseline="0">
              <a:solidFill>
                <a:schemeClr val="dk1"/>
              </a:solidFill>
              <a:effectLst/>
              <a:latin typeface="Montserrat" panose="00000500000000000000" pitchFamily="2" charset="0"/>
              <a:ea typeface="+mn-ea"/>
              <a:cs typeface="+mn-cs"/>
            </a:rPr>
            <a:t> The selection option is based on the cycle IDs provided in the 'Site and production details' tab.</a:t>
          </a:r>
          <a:endParaRPr lang="en-NL">
            <a:effectLst/>
            <a:latin typeface="Montserrat" panose="00000500000000000000" pitchFamily="2" charset="0"/>
          </a:endParaRPr>
        </a:p>
        <a:p>
          <a:endParaRPr lang="en-GB" sz="1100" b="1">
            <a:solidFill>
              <a:schemeClr val="dk1"/>
            </a:solidFill>
            <a:effectLst/>
            <a:latin typeface="Montserrat" panose="00000500000000000000" pitchFamily="2" charset="0"/>
            <a:ea typeface="+mn-ea"/>
            <a:cs typeface="+mn-cs"/>
          </a:endParaRPr>
        </a:p>
        <a:p>
          <a:r>
            <a:rPr lang="en-GB" sz="1100" b="1">
              <a:solidFill>
                <a:schemeClr val="dk1"/>
              </a:solidFill>
              <a:effectLst/>
              <a:latin typeface="Montserrat" panose="00000500000000000000" pitchFamily="2" charset="0"/>
              <a:ea typeface="+mn-ea"/>
              <a:cs typeface="+mn-cs"/>
            </a:rPr>
            <a:t>Date of </a:t>
          </a:r>
          <a:r>
            <a:rPr lang="en-US" sz="1100" b="1">
              <a:solidFill>
                <a:schemeClr val="dk1"/>
              </a:solidFill>
              <a:effectLst/>
              <a:latin typeface="Montserrat" panose="00000500000000000000" pitchFamily="2" charset="0"/>
              <a:ea typeface="+mn-ea"/>
              <a:cs typeface="+mn-cs"/>
            </a:rPr>
            <a:t>event (dd-mm-yyyy)</a:t>
          </a:r>
          <a:r>
            <a:rPr lang="en-US" sz="1100">
              <a:solidFill>
                <a:schemeClr val="dk1"/>
              </a:solidFill>
              <a:effectLst/>
              <a:latin typeface="Montserrat" panose="00000500000000000000" pitchFamily="2" charset="0"/>
              <a:ea typeface="+mn-ea"/>
              <a:cs typeface="+mn-cs"/>
            </a:rPr>
            <a:t> </a:t>
          </a:r>
          <a:r>
            <a:rPr lang="en-GB" sz="1100">
              <a:solidFill>
                <a:schemeClr val="dk1"/>
              </a:solidFill>
              <a:effectLst/>
              <a:latin typeface="Montserrat" panose="00000500000000000000" pitchFamily="2" charset="0"/>
              <a:ea typeface="+mn-ea"/>
              <a:cs typeface="+mn-cs"/>
            </a:rPr>
            <a:t>(Mandatory field)</a:t>
          </a:r>
          <a:endParaRPr lang="en-NL">
            <a:effectLst/>
            <a:latin typeface="Montserrat" panose="00000500000000000000" pitchFamily="2" charset="0"/>
          </a:endParaRPr>
        </a:p>
        <a:p>
          <a:r>
            <a:rPr lang="en-GB" sz="1100">
              <a:solidFill>
                <a:schemeClr val="dk1"/>
              </a:solidFill>
              <a:effectLst/>
              <a:latin typeface="Montserrat" panose="00000500000000000000" pitchFamily="2" charset="0"/>
              <a:ea typeface="+mn-ea"/>
              <a:cs typeface="+mn-cs"/>
            </a:rPr>
            <a:t>Indicate the date that the escape event occurred (or date of discovery).</a:t>
          </a:r>
          <a:endParaRPr lang="en-NL">
            <a:effectLst/>
            <a:latin typeface="Montserrat" panose="00000500000000000000" pitchFamily="2" charset="0"/>
          </a:endParaRPr>
        </a:p>
        <a:p>
          <a:endParaRPr lang="en-GB" sz="1100" b="1">
            <a:solidFill>
              <a:schemeClr val="dk1"/>
            </a:solidFill>
            <a:effectLst/>
            <a:latin typeface="Montserrat" panose="00000500000000000000" pitchFamily="2" charset="0"/>
            <a:ea typeface="+mn-ea"/>
            <a:cs typeface="+mn-cs"/>
          </a:endParaRPr>
        </a:p>
        <a:p>
          <a:r>
            <a:rPr lang="en-GB" sz="1100" b="1">
              <a:solidFill>
                <a:schemeClr val="dk1"/>
              </a:solidFill>
              <a:effectLst/>
              <a:latin typeface="Montserrat" panose="00000500000000000000" pitchFamily="2" charset="0"/>
              <a:ea typeface="+mn-ea"/>
              <a:cs typeface="+mn-cs"/>
            </a:rPr>
            <a:t>Number</a:t>
          </a:r>
          <a:r>
            <a:rPr lang="en-GB" sz="1100" b="1" baseline="0">
              <a:solidFill>
                <a:schemeClr val="dk1"/>
              </a:solidFill>
              <a:effectLst/>
              <a:latin typeface="Montserrat" panose="00000500000000000000" pitchFamily="2" charset="0"/>
              <a:ea typeface="+mn-ea"/>
              <a:cs typeface="+mn-cs"/>
            </a:rPr>
            <a:t> of escapees</a:t>
          </a:r>
          <a:r>
            <a:rPr lang="en-GB" sz="1100" b="1">
              <a:solidFill>
                <a:schemeClr val="dk1"/>
              </a:solidFill>
              <a:effectLst/>
              <a:latin typeface="Montserrat" panose="00000500000000000000" pitchFamily="2" charset="0"/>
              <a:ea typeface="+mn-ea"/>
              <a:cs typeface="+mn-cs"/>
            </a:rPr>
            <a:t> (# of animals)</a:t>
          </a:r>
          <a:r>
            <a:rPr lang="en-GB" sz="1100">
              <a:solidFill>
                <a:schemeClr val="dk1"/>
              </a:solidFill>
              <a:effectLst/>
              <a:latin typeface="Montserrat" panose="00000500000000000000" pitchFamily="2" charset="0"/>
              <a:ea typeface="+mn-ea"/>
              <a:cs typeface="+mn-cs"/>
            </a:rPr>
            <a:t> (Mandatory field</a:t>
          </a:r>
          <a:r>
            <a:rPr lang="en-US" sz="1100">
              <a:solidFill>
                <a:schemeClr val="dk1"/>
              </a:solidFill>
              <a:effectLst/>
              <a:latin typeface="Montserrat" panose="00000500000000000000" pitchFamily="2" charset="0"/>
              <a:ea typeface="+mn-ea"/>
              <a:cs typeface="+mn-cs"/>
            </a:rPr>
            <a:t>)</a:t>
          </a:r>
          <a:endParaRPr lang="en-N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a:solidFill>
                <a:schemeClr val="dk1"/>
              </a:solidFill>
              <a:effectLst/>
              <a:latin typeface="Montserrat" panose="00000500000000000000" pitchFamily="2" charset="0"/>
              <a:ea typeface="+mn-ea"/>
              <a:cs typeface="+mn-cs"/>
            </a:rPr>
            <a:t>Indicate the number of animals that escaped during the escape event. If animals were recovered after a specific escape event, they can</a:t>
          </a:r>
          <a:r>
            <a:rPr lang="en-GB" sz="1100" baseline="0">
              <a:solidFill>
                <a:schemeClr val="dk1"/>
              </a:solidFill>
              <a:effectLst/>
              <a:latin typeface="Montserrat" panose="00000500000000000000" pitchFamily="2" charset="0"/>
              <a:ea typeface="+mn-ea"/>
              <a:cs typeface="+mn-cs"/>
            </a:rPr>
            <a:t> be subtracted from the number of escapees</a:t>
          </a:r>
          <a:r>
            <a:rPr lang="en-US" sz="1100" baseline="0">
              <a:solidFill>
                <a:schemeClr val="dk1"/>
              </a:solidFill>
              <a:effectLst/>
              <a:latin typeface="Montserrat" panose="00000500000000000000" pitchFamily="2" charset="0"/>
              <a:ea typeface="+mn-ea"/>
              <a:cs typeface="+mn-cs"/>
            </a:rPr>
            <a:t>.</a:t>
          </a:r>
          <a:endParaRPr lang="en-NL">
            <a:effectLst/>
            <a:latin typeface="Montserrat" panose="00000500000000000000" pitchFamily="2" charset="0"/>
          </a:endParaRPr>
        </a:p>
        <a:p>
          <a:endParaRPr lang="en-NL">
            <a:effectLst/>
            <a:latin typeface="Montserrat" panose="00000500000000000000" pitchFamily="2" charset="0"/>
          </a:endParaRPr>
        </a:p>
        <a:p>
          <a:r>
            <a:rPr lang="en-US" sz="1100" b="1">
              <a:solidFill>
                <a:schemeClr val="dk1"/>
              </a:solidFill>
              <a:effectLst/>
              <a:latin typeface="Montserrat" panose="00000500000000000000" pitchFamily="2" charset="0"/>
              <a:ea typeface="+mn-ea"/>
              <a:cs typeface="+mn-cs"/>
            </a:rPr>
            <a:t>Cause of escape event</a:t>
          </a:r>
          <a:r>
            <a:rPr lang="en-US" sz="1100" b="1" baseline="0">
              <a:solidFill>
                <a:schemeClr val="dk1"/>
              </a:solidFill>
              <a:effectLst/>
              <a:latin typeface="Montserrat" panose="00000500000000000000" pitchFamily="2" charset="0"/>
              <a:ea typeface="+mn-ea"/>
              <a:cs typeface="+mn-cs"/>
            </a:rPr>
            <a:t> </a:t>
          </a:r>
          <a:r>
            <a:rPr lang="en-US" sz="1100" b="1">
              <a:solidFill>
                <a:schemeClr val="dk1"/>
              </a:solidFill>
              <a:effectLst/>
              <a:latin typeface="Montserrat" panose="00000500000000000000" pitchFamily="2" charset="0"/>
              <a:ea typeface="+mn-ea"/>
              <a:cs typeface="+mn-cs"/>
            </a:rPr>
            <a:t>(select)</a:t>
          </a:r>
          <a:r>
            <a:rPr lang="en-US" sz="1100">
              <a:solidFill>
                <a:schemeClr val="dk1"/>
              </a:solidFill>
              <a:effectLst/>
              <a:latin typeface="Montserrat" panose="00000500000000000000" pitchFamily="2" charset="0"/>
              <a:ea typeface="+mn-ea"/>
              <a:cs typeface="+mn-cs"/>
            </a:rPr>
            <a:t> </a:t>
          </a:r>
          <a:r>
            <a:rPr lang="en-GB" sz="1100">
              <a:solidFill>
                <a:schemeClr val="dk1"/>
              </a:solidFill>
              <a:effectLst/>
              <a:latin typeface="Montserrat" panose="00000500000000000000" pitchFamily="2" charset="0"/>
              <a:ea typeface="+mn-ea"/>
              <a:cs typeface="+mn-cs"/>
            </a:rPr>
            <a:t>(Mandatory field</a:t>
          </a:r>
          <a:r>
            <a:rPr lang="en-US" sz="1100">
              <a:solidFill>
                <a:schemeClr val="dk1"/>
              </a:solidFill>
              <a:effectLst/>
              <a:latin typeface="Montserrat" panose="00000500000000000000" pitchFamily="2" charset="0"/>
              <a:ea typeface="+mn-ea"/>
              <a:cs typeface="+mn-cs"/>
            </a:rPr>
            <a:t>)</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Select the cause for the escape event</a:t>
          </a:r>
          <a:r>
            <a:rPr lang="en-US" sz="1100" baseline="0">
              <a:solidFill>
                <a:schemeClr val="dk1"/>
              </a:solidFill>
              <a:effectLst/>
              <a:latin typeface="Montserrat" panose="00000500000000000000" pitchFamily="2" charset="0"/>
              <a:ea typeface="+mn-ea"/>
              <a:cs typeface="+mn-cs"/>
            </a:rPr>
            <a:t> </a:t>
          </a:r>
          <a:r>
            <a:rPr lang="en-GB" sz="1100">
              <a:solidFill>
                <a:schemeClr val="dk1"/>
              </a:solidFill>
              <a:effectLst/>
              <a:latin typeface="Montserrat" pitchFamily="2" charset="0"/>
              <a:ea typeface="+mn-ea"/>
              <a:cs typeface="+mn-cs"/>
            </a:rPr>
            <a:t>using the dropdown menu.</a:t>
          </a:r>
          <a:r>
            <a:rPr lang="en-US" sz="1100">
              <a:solidFill>
                <a:schemeClr val="dk1"/>
              </a:solidFill>
              <a:effectLst/>
              <a:latin typeface="Montserrat" panose="00000500000000000000" pitchFamily="2" charset="0"/>
              <a:ea typeface="+mn-ea"/>
              <a:cs typeface="+mn-cs"/>
            </a:rPr>
            <a:t> If the cause is not a listed option, please briefly type out the cause of the event.</a:t>
          </a:r>
          <a:endParaRPr lang="en-NL">
            <a:effectLst/>
            <a:latin typeface="Montserrat" panose="00000500000000000000" pitchFamily="2" charset="0"/>
          </a:endParaRPr>
        </a:p>
        <a:p>
          <a:endParaRPr lang="en-US" sz="1100" b="1">
            <a:solidFill>
              <a:schemeClr val="dk1"/>
            </a:solidFill>
            <a:effectLst/>
            <a:latin typeface="Montserrat" panose="00000500000000000000" pitchFamily="2" charset="0"/>
            <a:ea typeface="+mn-ea"/>
            <a:cs typeface="+mn-cs"/>
          </a:endParaRPr>
        </a:p>
        <a:p>
          <a:r>
            <a:rPr lang="en-US" sz="1100" b="1">
              <a:solidFill>
                <a:schemeClr val="dk1"/>
              </a:solidFill>
              <a:effectLst/>
              <a:latin typeface="Montserrat" panose="00000500000000000000" pitchFamily="2" charset="0"/>
              <a:ea typeface="+mn-ea"/>
              <a:cs typeface="+mn-cs"/>
            </a:rPr>
            <a:t>Notes </a:t>
          </a:r>
          <a:r>
            <a:rPr lang="en-US" sz="1100">
              <a:solidFill>
                <a:schemeClr val="dk1"/>
              </a:solidFill>
              <a:effectLst/>
              <a:latin typeface="Montserrat" panose="00000500000000000000" pitchFamily="2" charset="0"/>
              <a:ea typeface="+mn-ea"/>
              <a:cs typeface="+mn-cs"/>
            </a:rPr>
            <a:t>(Voluntary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This field may be used to provide any other relevant information or clarifications.</a:t>
          </a:r>
          <a:endParaRPr lang="en-NL">
            <a:effectLst/>
            <a:latin typeface="Montserrat" panose="00000500000000000000" pitchFamily="2" charset="0"/>
          </a:endParaRPr>
        </a:p>
        <a:p>
          <a:endParaRPr lang="en-GB">
            <a:effectLst/>
            <a:latin typeface="Montserrat" panose="00000500000000000000" pitchFamily="2" charset="0"/>
          </a:endParaRPr>
        </a:p>
        <a:p>
          <a:r>
            <a:rPr lang="en-GB" b="1" u="sng">
              <a:effectLst/>
              <a:latin typeface="Montserrat" panose="00000500000000000000" pitchFamily="2" charset="0"/>
            </a:rPr>
            <a:t>TABLE 2. Known escapes per species</a:t>
          </a:r>
        </a:p>
        <a:p>
          <a:pPr marL="0" marR="0" lvl="0" indent="0" defTabSz="914400" eaLnBrk="1" fontAlgn="auto" latinLnBrk="0" hangingPunct="1">
            <a:lnSpc>
              <a:spcPct val="100000"/>
            </a:lnSpc>
            <a:spcBef>
              <a:spcPts val="0"/>
            </a:spcBef>
            <a:spcAft>
              <a:spcPts val="0"/>
            </a:spcAft>
            <a:buClrTx/>
            <a:buSzTx/>
            <a:buFontTx/>
            <a:buNone/>
            <a:tabLst/>
            <a:defRPr/>
          </a:pPr>
          <a:r>
            <a:rPr lang="en-GB" b="1">
              <a:effectLst/>
              <a:latin typeface="Montserrat" panose="00000500000000000000" pitchFamily="2" charset="0"/>
            </a:rPr>
            <a:t>Species in production (latin name) </a:t>
          </a:r>
          <a:r>
            <a:rPr lang="en-GB" sz="1100" b="0">
              <a:solidFill>
                <a:schemeClr val="dk1"/>
              </a:solidFill>
              <a:effectLst/>
              <a:latin typeface="Montserrat" panose="00000500000000000000" pitchFamily="2" charset="0"/>
              <a:ea typeface="+mn-ea"/>
              <a:cs typeface="+mn-cs"/>
            </a:rPr>
            <a:t>(Autopopulated field)</a:t>
          </a:r>
          <a:endParaRPr lang="en-GB" b="1">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b="0" baseline="0">
              <a:solidFill>
                <a:schemeClr val="dk1"/>
              </a:solidFill>
              <a:effectLst/>
              <a:latin typeface="Montserrat" panose="00000500000000000000" pitchFamily="2" charset="0"/>
              <a:ea typeface="+mn-ea"/>
              <a:cs typeface="+mn-cs"/>
            </a:rPr>
            <a:t>The species in production</a:t>
          </a:r>
          <a:r>
            <a:rPr lang="en-US" sz="1100" b="0" i="0">
              <a:solidFill>
                <a:schemeClr val="dk1"/>
              </a:solidFill>
              <a:effectLst/>
              <a:latin typeface="Montserrat" panose="00000500000000000000" pitchFamily="2" charset="0"/>
              <a:ea typeface="+mn-ea"/>
              <a:cs typeface="+mn-cs"/>
            </a:rPr>
            <a:t> </a:t>
          </a:r>
          <a:r>
            <a:rPr lang="en-GB" sz="1100" b="0" baseline="0">
              <a:solidFill>
                <a:schemeClr val="dk1"/>
              </a:solidFill>
              <a:effectLst/>
              <a:latin typeface="Montserrat" panose="00000500000000000000" pitchFamily="2" charset="0"/>
              <a:ea typeface="+mn-ea"/>
              <a:cs typeface="+mn-cs"/>
            </a:rPr>
            <a:t>is autopopulated from the 'Site and production details' tab.</a:t>
          </a:r>
          <a:endParaRPr lang="en-N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endParaRPr lang="en-GB" sz="1100" b="0" baseline="0">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a:latin typeface="Montserrat" panose="00000500000000000000" pitchFamily="2" charset="0"/>
            </a:rPr>
            <a:t>Stocking count (# animals</a:t>
          </a:r>
          <a:r>
            <a:rPr lang="en-US" sz="1100" b="0">
              <a:latin typeface="Montserrat" panose="00000500000000000000" pitchFamily="2" charset="0"/>
            </a:rPr>
            <a:t>) (Autopopulated field)</a:t>
          </a:r>
        </a:p>
        <a:p>
          <a:pPr marL="0" marR="0" lvl="0" indent="0" defTabSz="914400" eaLnBrk="1" fontAlgn="auto" latinLnBrk="0" hangingPunct="1">
            <a:lnSpc>
              <a:spcPct val="100000"/>
            </a:lnSpc>
            <a:spcBef>
              <a:spcPts val="0"/>
            </a:spcBef>
            <a:spcAft>
              <a:spcPts val="0"/>
            </a:spcAft>
            <a:buClrTx/>
            <a:buSzTx/>
            <a:buFontTx/>
            <a:buNone/>
            <a:tabLst/>
            <a:defRPr/>
          </a:pPr>
          <a:r>
            <a:rPr lang="en-US" sz="1100" b="0">
              <a:latin typeface="Montserrat" panose="00000500000000000000" pitchFamily="2" charset="0"/>
            </a:rPr>
            <a:t>The stocking count is autopopulated from the 'Site and production details' tab.</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1">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a:latin typeface="Montserrat" panose="00000500000000000000" pitchFamily="2" charset="0"/>
            </a:rPr>
            <a:t>Known escapes (# animals)</a:t>
          </a:r>
          <a:r>
            <a:rPr lang="en-US" sz="1100" b="1" baseline="0">
              <a:latin typeface="Montserrat" panose="00000500000000000000" pitchFamily="2" charset="0"/>
            </a:rPr>
            <a:t> </a:t>
          </a:r>
          <a:r>
            <a:rPr lang="en-GB" sz="1100" b="0">
              <a:solidFill>
                <a:schemeClr val="dk1"/>
              </a:solidFill>
              <a:effectLst/>
              <a:latin typeface="Montserrat" panose="00000500000000000000" pitchFamily="2" charset="0"/>
              <a:ea typeface="+mn-ea"/>
              <a:cs typeface="+mn-cs"/>
            </a:rPr>
            <a:t>(Calculated field)</a:t>
          </a:r>
          <a:endParaRPr lang="en-NL">
            <a:effectLst/>
            <a:latin typeface="Montserrat" panose="00000500000000000000" pitchFamily="2" charset="0"/>
          </a:endParaRPr>
        </a:p>
        <a:p>
          <a:pPr eaLnBrk="1" fontAlgn="auto" latinLnBrk="0" hangingPunct="1"/>
          <a:r>
            <a:rPr lang="en-US" sz="1100" b="0" i="0">
              <a:solidFill>
                <a:schemeClr val="dk1"/>
              </a:solidFill>
              <a:effectLst/>
              <a:latin typeface="Montserrat" panose="00000500000000000000" pitchFamily="2" charset="0"/>
              <a:ea typeface="+mn-ea"/>
              <a:cs typeface="+mn-cs"/>
            </a:rPr>
            <a:t>The</a:t>
          </a:r>
          <a:r>
            <a:rPr lang="en-US" sz="1100" b="0" i="0" baseline="0">
              <a:solidFill>
                <a:schemeClr val="dk1"/>
              </a:solidFill>
              <a:effectLst/>
              <a:latin typeface="Montserrat" panose="00000500000000000000" pitchFamily="2" charset="0"/>
              <a:ea typeface="+mn-ea"/>
              <a:cs typeface="+mn-cs"/>
            </a:rPr>
            <a:t> known escapes </a:t>
          </a:r>
          <a:r>
            <a:rPr lang="en-US" sz="1100" baseline="0">
              <a:solidFill>
                <a:schemeClr val="dk1"/>
              </a:solidFill>
              <a:effectLst/>
              <a:latin typeface="Montserrat" panose="00000500000000000000" pitchFamily="2" charset="0"/>
              <a:ea typeface="+mn-ea"/>
              <a:cs typeface="+mn-cs"/>
            </a:rPr>
            <a:t>is the total number of escapees per species per site and is automatically calculated from data reported in table 1.</a:t>
          </a:r>
        </a:p>
        <a:p>
          <a:pPr eaLnBrk="1" fontAlgn="auto" latinLnBrk="0" hangingPunct="1"/>
          <a:endParaRPr lang="en-US" sz="1100" baseline="0">
            <a:solidFill>
              <a:schemeClr val="dk1"/>
            </a:solidFill>
            <a:effectLst/>
            <a:latin typeface="Montserrat" panose="00000500000000000000" pitchFamily="2" charset="0"/>
            <a:ea typeface="+mn-ea"/>
            <a:cs typeface="+mn-cs"/>
          </a:endParaRPr>
        </a:p>
        <a:p>
          <a:pPr rtl="0"/>
          <a:r>
            <a:rPr lang="en-US" sz="1100" b="1" i="0" baseline="0">
              <a:solidFill>
                <a:schemeClr val="dk1"/>
              </a:solidFill>
              <a:effectLst/>
              <a:latin typeface="Montserrat" panose="00000500000000000000" pitchFamily="2" charset="0"/>
              <a:ea typeface="+mn-ea"/>
              <a:cs typeface="+mn-cs"/>
            </a:rPr>
            <a:t>Known escapes (%) </a:t>
          </a:r>
          <a:r>
            <a:rPr lang="en-GB" sz="1100" b="0">
              <a:solidFill>
                <a:schemeClr val="dk1"/>
              </a:solidFill>
              <a:effectLst/>
              <a:latin typeface="Montserrat" panose="00000500000000000000" pitchFamily="2" charset="0"/>
              <a:ea typeface="+mn-ea"/>
              <a:cs typeface="+mn-cs"/>
            </a:rPr>
            <a:t>(Calculated field)</a:t>
          </a:r>
          <a:endParaRPr lang="en-NL">
            <a:effectLst/>
            <a:latin typeface="Montserrat" panose="00000500000000000000" pitchFamily="2" charset="0"/>
          </a:endParaRPr>
        </a:p>
        <a:p>
          <a:pPr rtl="0"/>
          <a:r>
            <a:rPr lang="en-US">
              <a:effectLst/>
              <a:latin typeface="Montserrat" panose="00000500000000000000" pitchFamily="2" charset="0"/>
            </a:rPr>
            <a:t>The known escapes</a:t>
          </a:r>
          <a:r>
            <a:rPr lang="en-US" baseline="0">
              <a:effectLst/>
              <a:latin typeface="Montserrat" panose="00000500000000000000" pitchFamily="2" charset="0"/>
            </a:rPr>
            <a:t> </a:t>
          </a:r>
          <a:r>
            <a:rPr lang="en-US">
              <a:effectLst/>
              <a:latin typeface="Montserrat" panose="00000500000000000000" pitchFamily="2" charset="0"/>
            </a:rPr>
            <a:t>(%) is automatically calculated and is the number</a:t>
          </a:r>
          <a:r>
            <a:rPr lang="en-US" baseline="0">
              <a:effectLst/>
              <a:latin typeface="Montserrat" panose="00000500000000000000" pitchFamily="2" charset="0"/>
            </a:rPr>
            <a:t> of escapees per species per site</a:t>
          </a:r>
          <a:r>
            <a:rPr lang="en-US">
              <a:effectLst/>
              <a:latin typeface="Montserrat" panose="00000500000000000000" pitchFamily="2" charset="0"/>
            </a:rPr>
            <a:t> as a percentage of the stocking count and is calculated as follows: </a:t>
          </a:r>
        </a:p>
        <a:p>
          <a:pPr rtl="0"/>
          <a:endParaRPr lang="en-US" sz="1100" b="0" i="1" baseline="0">
            <a:solidFill>
              <a:schemeClr val="dk1"/>
            </a:solidFill>
            <a:effectLst/>
            <a:latin typeface="Montserrat" panose="00000500000000000000" pitchFamily="2" charset="0"/>
            <a:ea typeface="+mn-ea"/>
            <a:cs typeface="+mn-cs"/>
          </a:endParaRPr>
        </a:p>
        <a:p>
          <a:pPr rtl="0"/>
          <a:r>
            <a:rPr lang="en-US" sz="1100" b="0" i="1" baseline="0">
              <a:solidFill>
                <a:schemeClr val="dk1"/>
              </a:solidFill>
              <a:effectLst/>
              <a:latin typeface="Montserrat" panose="00000500000000000000" pitchFamily="2" charset="0"/>
              <a:ea typeface="+mn-ea"/>
              <a:cs typeface="+mn-cs"/>
            </a:rPr>
            <a:t>	Known escapes (%) = known escapes (# animals) / stocking count (# animals) * 100</a:t>
          </a:r>
        </a:p>
        <a:p>
          <a:pPr rtl="0"/>
          <a:endParaRPr lang="en-US" sz="1100" b="0" i="1" baseline="0">
            <a:solidFill>
              <a:schemeClr val="dk1"/>
            </a:solidFill>
            <a:effectLst/>
            <a:latin typeface="Montserrat" panose="00000500000000000000" pitchFamily="2" charset="0"/>
            <a:ea typeface="+mn-ea"/>
            <a:cs typeface="+mn-cs"/>
          </a:endParaRPr>
        </a:p>
        <a:p>
          <a:pPr rtl="0"/>
          <a:endParaRPr lang="en-US" sz="1100" b="0" i="1">
            <a:solidFill>
              <a:schemeClr val="dk1"/>
            </a:solidFill>
            <a:effectLst/>
            <a:latin typeface="Montserrat" panose="00000500000000000000" pitchFamily="2" charset="0"/>
            <a:ea typeface="+mn-ea"/>
            <a:cs typeface="+mn-cs"/>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12</xdr:col>
      <xdr:colOff>0</xdr:colOff>
      <xdr:row>1</xdr:row>
      <xdr:rowOff>188683</xdr:rowOff>
    </xdr:from>
    <xdr:to>
      <xdr:col>24</xdr:col>
      <xdr:colOff>1</xdr:colOff>
      <xdr:row>68</xdr:row>
      <xdr:rowOff>8731</xdr:rowOff>
    </xdr:to>
    <xdr:sp macro="" textlink="">
      <xdr:nvSpPr>
        <xdr:cNvPr id="5" name="TextBox 8">
          <a:extLst>
            <a:ext uri="{FF2B5EF4-FFF2-40B4-BE49-F238E27FC236}">
              <a16:creationId xmlns:a16="http://schemas.microsoft.com/office/drawing/2014/main" id="{2ACE2BBA-0E87-9A40-0A07-A50375480841}"/>
            </a:ext>
          </a:extLst>
        </xdr:cNvPr>
        <xdr:cNvSpPr txBox="1"/>
      </xdr:nvSpPr>
      <xdr:spPr>
        <a:xfrm>
          <a:off x="12382500" y="402996"/>
          <a:ext cx="7572376" cy="14155173"/>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ontserrat" pitchFamily="2" charset="0"/>
              <a:ea typeface="+mn-ea"/>
              <a:cs typeface="+mn-cs"/>
            </a:rPr>
            <a:t>USER GUIDANCE</a:t>
          </a:r>
        </a:p>
        <a:p>
          <a:r>
            <a:rPr lang="en-US" sz="1100" b="0">
              <a:solidFill>
                <a:schemeClr val="dk1"/>
              </a:solidFill>
              <a:effectLst/>
              <a:latin typeface="Montserrat" pitchFamily="2" charset="0"/>
              <a:ea typeface="+mn-ea"/>
              <a:cs typeface="+mn-cs"/>
            </a:rPr>
            <a:t>This template is used to report sampling results for monitoring level 1 and level 2.</a:t>
          </a:r>
          <a:r>
            <a:rPr lang="en-US" sz="1100" b="0" baseline="0">
              <a:solidFill>
                <a:schemeClr val="dk1"/>
              </a:solidFill>
              <a:effectLst/>
              <a:latin typeface="Montserrat" pitchFamily="2" charset="0"/>
              <a:ea typeface="+mn-ea"/>
              <a:cs typeface="+mn-cs"/>
            </a:rPr>
            <a:t> </a:t>
          </a:r>
          <a:r>
            <a:rPr lang="en-US" sz="1100" b="0">
              <a:solidFill>
                <a:schemeClr val="dk1"/>
              </a:solidFill>
              <a:effectLst/>
              <a:latin typeface="Montserrat" pitchFamily="2" charset="0"/>
              <a:ea typeface="+mn-ea"/>
              <a:cs typeface="+mn-cs"/>
            </a:rPr>
            <a:t>The ecological quality score (EQS) category and score per sampling zone for each abiotic indicator (table 3), the zone EQS score and category (table 4) and finally the site-specific benthic status (table 5) are all automatically calculated based on the reported sample values in table 1 (monitoring level 1) and table 2 (monitoring level 2).</a:t>
          </a:r>
          <a:r>
            <a:rPr lang="en-US" sz="1100" b="0" baseline="0">
              <a:solidFill>
                <a:schemeClr val="dk1"/>
              </a:solidFill>
              <a:effectLst/>
              <a:latin typeface="Montserrat" pitchFamily="2" charset="0"/>
              <a:ea typeface="+mn-ea"/>
              <a:cs typeface="+mn-cs"/>
            </a:rPr>
            <a:t> </a:t>
          </a:r>
          <a:r>
            <a:rPr lang="en-US" sz="1100" b="0">
              <a:solidFill>
                <a:schemeClr val="dk1"/>
              </a:solidFill>
              <a:effectLst/>
              <a:latin typeface="Montserrat" pitchFamily="2" charset="0"/>
              <a:ea typeface="+mn-ea"/>
              <a:cs typeface="+mn-cs"/>
            </a:rPr>
            <a:t>This template follows the methodology provided in appendix 7.2 of the ASC Farm Standard.</a:t>
          </a:r>
        </a:p>
        <a:p>
          <a:endParaRPr lang="en-US" sz="1100" b="0">
            <a:solidFill>
              <a:schemeClr val="dk1"/>
            </a:solidFill>
            <a:effectLst/>
            <a:latin typeface="Montserrat" pitchFamily="2" charset="0"/>
            <a:ea typeface="+mn-ea"/>
            <a:cs typeface="+mn-cs"/>
          </a:endParaRPr>
        </a:p>
        <a:p>
          <a:r>
            <a:rPr lang="en-US" sz="1100" b="0">
              <a:solidFill>
                <a:schemeClr val="dk1"/>
              </a:solidFill>
              <a:effectLst/>
              <a:latin typeface="Montserrat" pitchFamily="2" charset="0"/>
              <a:ea typeface="+mn-ea"/>
              <a:cs typeface="+mn-cs"/>
            </a:rPr>
            <a:t>If monitoring level 1 results in an </a:t>
          </a:r>
          <a:r>
            <a:rPr lang="en-US" sz="1100" b="0" i="1">
              <a:solidFill>
                <a:schemeClr val="dk1"/>
              </a:solidFill>
              <a:effectLst/>
              <a:latin typeface="Montserrat" pitchFamily="2" charset="0"/>
              <a:ea typeface="+mn-ea"/>
              <a:cs typeface="+mn-cs"/>
            </a:rPr>
            <a:t>'acceptable' </a:t>
          </a:r>
          <a:r>
            <a:rPr lang="en-US" sz="1100" b="0">
              <a:solidFill>
                <a:schemeClr val="dk1"/>
              </a:solidFill>
              <a:effectLst/>
              <a:latin typeface="Montserrat" pitchFamily="2" charset="0"/>
              <a:ea typeface="+mn-ea"/>
              <a:cs typeface="+mn-cs"/>
            </a:rPr>
            <a:t>benthic status, no reporting for level 2 in table 2 is required.</a:t>
          </a:r>
        </a:p>
        <a:p>
          <a:endParaRPr lang="en-US" sz="1100" b="0">
            <a:solidFill>
              <a:schemeClr val="dk1"/>
            </a:solidFill>
            <a:effectLst/>
            <a:latin typeface="Montserrat" pitchFamily="2" charset="0"/>
            <a:ea typeface="+mn-ea"/>
            <a:cs typeface="+mn-cs"/>
          </a:endParaRPr>
        </a:p>
        <a:p>
          <a:r>
            <a:rPr lang="en-US" sz="1100" b="0" i="1">
              <a:solidFill>
                <a:schemeClr val="dk1"/>
              </a:solidFill>
              <a:effectLst/>
              <a:latin typeface="Montserrat" pitchFamily="2" charset="0"/>
              <a:ea typeface="+mn-ea"/>
              <a:cs typeface="+mn-cs"/>
            </a:rPr>
            <a:t>Note: For</a:t>
          </a:r>
          <a:r>
            <a:rPr lang="en-US" sz="1100" b="0" i="1" baseline="0">
              <a:solidFill>
                <a:schemeClr val="dk1"/>
              </a:solidFill>
              <a:effectLst/>
              <a:latin typeface="Montserrat" pitchFamily="2" charset="0"/>
              <a:ea typeface="+mn-ea"/>
              <a:cs typeface="+mn-cs"/>
            </a:rPr>
            <a:t> </a:t>
          </a:r>
          <a:r>
            <a:rPr lang="en-US" sz="1100" b="0" i="1">
              <a:solidFill>
                <a:schemeClr val="dk1"/>
              </a:solidFill>
              <a:effectLst/>
              <a:latin typeface="Montserrat" pitchFamily="2" charset="0"/>
              <a:ea typeface="+mn-ea"/>
              <a:cs typeface="+mn-cs"/>
            </a:rPr>
            <a:t>total free sulphide the ISE method is only allowed during the transition period of the ASC</a:t>
          </a:r>
          <a:r>
            <a:rPr lang="en-US" sz="1100" b="0" i="1" baseline="0">
              <a:solidFill>
                <a:schemeClr val="dk1"/>
              </a:solidFill>
              <a:effectLst/>
              <a:latin typeface="Montserrat" pitchFamily="2" charset="0"/>
              <a:ea typeface="+mn-ea"/>
              <a:cs typeface="+mn-cs"/>
            </a:rPr>
            <a:t> </a:t>
          </a:r>
          <a:r>
            <a:rPr lang="en-US" sz="1100" b="0" i="1">
              <a:solidFill>
                <a:schemeClr val="dk1"/>
              </a:solidFill>
              <a:effectLst/>
              <a:latin typeface="Montserrat" pitchFamily="2" charset="0"/>
              <a:ea typeface="+mn-ea"/>
              <a:cs typeface="+mn-cs"/>
            </a:rPr>
            <a:t>Farm Standard. Thereafter only the UV method is accepted.</a:t>
          </a: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1. Level 1 - Abiotic impact - Data entry</a:t>
          </a:r>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Sampling date (dd-mm-yyyy)</a:t>
          </a:r>
          <a:r>
            <a:rPr lang="en-US" sz="1100">
              <a:solidFill>
                <a:schemeClr val="dk1"/>
              </a:solidFill>
              <a:effectLst/>
              <a:latin typeface="Montserrat" pitchFamily="2" charset="0"/>
              <a:ea typeface="+mn-ea"/>
              <a:cs typeface="+mn-cs"/>
            </a:rPr>
            <a:t> (Mandatory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Provide the date when the sampling occurred. </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Abiotic indicator (select)</a:t>
          </a:r>
          <a:r>
            <a:rPr lang="en-GB" sz="1100" b="1" baseline="0">
              <a:solidFill>
                <a:schemeClr val="dk1"/>
              </a:solidFill>
              <a:effectLst/>
              <a:latin typeface="Montserrat" pitchFamily="2" charset="0"/>
              <a:ea typeface="+mn-ea"/>
              <a:cs typeface="+mn-cs"/>
            </a:rPr>
            <a:t> </a:t>
          </a:r>
          <a:r>
            <a:rPr lang="en-US" sz="1100">
              <a:solidFill>
                <a:schemeClr val="dk1"/>
              </a:solidFill>
              <a:effectLst/>
              <a:latin typeface="Montserrat" pitchFamily="2" charset="0"/>
              <a:ea typeface="+mn-ea"/>
              <a:cs typeface="+mn-cs"/>
            </a:rPr>
            <a:t>(Mandatory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Select the total free sulphide method used using the dropdown menu. The Redox potential is</a:t>
          </a:r>
          <a:r>
            <a:rPr lang="en-GB" sz="1100" baseline="0">
              <a:solidFill>
                <a:schemeClr val="dk1"/>
              </a:solidFill>
              <a:effectLst/>
              <a:latin typeface="Montserrat" pitchFamily="2" charset="0"/>
              <a:ea typeface="+mn-ea"/>
              <a:cs typeface="+mn-cs"/>
            </a:rPr>
            <a:t> </a:t>
          </a:r>
          <a:r>
            <a:rPr lang="en-GB" sz="1100">
              <a:solidFill>
                <a:schemeClr val="dk1"/>
              </a:solidFill>
              <a:effectLst/>
              <a:latin typeface="Montserrat" pitchFamily="2" charset="0"/>
              <a:ea typeface="+mn-ea"/>
              <a:cs typeface="+mn-cs"/>
            </a:rPr>
            <a:t> automatically populated. </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Direction compared to water flow </a:t>
          </a:r>
          <a:r>
            <a:rPr lang="en-US" sz="1100">
              <a:solidFill>
                <a:schemeClr val="dk1"/>
              </a:solidFill>
              <a:effectLst/>
              <a:latin typeface="Montserrat" pitchFamily="2" charset="0"/>
              <a:ea typeface="+mn-ea"/>
              <a:cs typeface="+mn-cs"/>
            </a:rPr>
            <a:t>(Mandatory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Indicates the direction of the sampling point with respect to the direction of the residual current. </a:t>
          </a:r>
          <a:r>
            <a:rPr lang="en-US" sz="1100">
              <a:solidFill>
                <a:schemeClr val="dk1"/>
              </a:solidFill>
              <a:effectLst/>
              <a:latin typeface="Montserrat" pitchFamily="2" charset="0"/>
              <a:ea typeface="+mn-ea"/>
              <a:cs typeface="+mn-cs"/>
            </a:rPr>
            <a:t>Free text is possible if the direction compared to water flow deviates from the prescribed methodology.</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Indicates the EQS sampling zone where the sample is taken.</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Distance from edge of cages (m)</a:t>
          </a:r>
          <a:r>
            <a:rPr lang="en-GB" sz="1100">
              <a:solidFill>
                <a:schemeClr val="dk1"/>
              </a:solidFill>
              <a:effectLst/>
              <a:latin typeface="Montserrat" pitchFamily="2" charset="0"/>
              <a:ea typeface="+mn-ea"/>
              <a:cs typeface="+mn-cs"/>
            </a:rPr>
            <a:t> (Mandatory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Indicates the distance in</a:t>
          </a:r>
          <a:r>
            <a:rPr lang="en-GB" sz="1100" baseline="0">
              <a:solidFill>
                <a:schemeClr val="dk1"/>
              </a:solidFill>
              <a:effectLst/>
              <a:latin typeface="Montserrat" pitchFamily="2" charset="0"/>
              <a:ea typeface="+mn-ea"/>
              <a:cs typeface="+mn-cs"/>
            </a:rPr>
            <a:t> </a:t>
          </a:r>
          <a:r>
            <a:rPr lang="en-GB" sz="1100">
              <a:solidFill>
                <a:schemeClr val="dk1"/>
              </a:solidFill>
              <a:effectLst/>
              <a:latin typeface="Montserrat" pitchFamily="2" charset="0"/>
              <a:ea typeface="+mn-ea"/>
              <a:cs typeface="+mn-cs"/>
            </a:rPr>
            <a:t>meters (m) from the cage where the sampling occurred. </a:t>
          </a:r>
          <a:r>
            <a:rPr lang="en-US" sz="1100">
              <a:solidFill>
                <a:schemeClr val="dk1"/>
              </a:solidFill>
              <a:effectLst/>
              <a:latin typeface="Montserrat" pitchFamily="2" charset="0"/>
              <a:ea typeface="+mn-ea"/>
              <a:cs typeface="+mn-cs"/>
            </a:rPr>
            <a:t>Free text is possible if distance from the cage deviates from the prescribed methodology.</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1 </a:t>
          </a:r>
          <a:r>
            <a:rPr lang="en-US" sz="1100">
              <a:solidFill>
                <a:schemeClr val="dk1"/>
              </a:solidFill>
              <a:effectLst/>
              <a:latin typeface="Montserrat" pitchFamily="2" charset="0"/>
              <a:ea typeface="+mn-ea"/>
              <a:cs typeface="+mn-cs"/>
            </a:rPr>
            <a:t>(Mandatory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For Total free sulphide (S2-): provide the average value of the triplicate for sample 1. </a:t>
          </a:r>
        </a:p>
        <a:p>
          <a:r>
            <a:rPr lang="en-US" sz="1100">
              <a:solidFill>
                <a:schemeClr val="dk1"/>
              </a:solidFill>
              <a:effectLst/>
              <a:latin typeface="Montserrat" pitchFamily="2" charset="0"/>
              <a:ea typeface="+mn-ea"/>
              <a:cs typeface="+mn-cs"/>
            </a:rPr>
            <a:t>For Redox potential (Eh): provide the value of the single measurement for sample 1.</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2 </a:t>
          </a:r>
          <a:r>
            <a:rPr lang="en-US" sz="1100">
              <a:solidFill>
                <a:schemeClr val="dk1"/>
              </a:solidFill>
              <a:effectLst/>
              <a:latin typeface="Montserrat" pitchFamily="2" charset="0"/>
              <a:ea typeface="+mn-ea"/>
              <a:cs typeface="+mn-cs"/>
            </a:rPr>
            <a:t>(Mandatory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For Total free sulphide (S2-): provide the average value of the triplicate for sample 2. </a:t>
          </a:r>
        </a:p>
        <a:p>
          <a:r>
            <a:rPr lang="en-US" sz="1100">
              <a:solidFill>
                <a:schemeClr val="dk1"/>
              </a:solidFill>
              <a:effectLst/>
              <a:latin typeface="Montserrat" pitchFamily="2" charset="0"/>
              <a:ea typeface="+mn-ea"/>
              <a:cs typeface="+mn-cs"/>
            </a:rPr>
            <a:t>For Redox potential (Eh): provide the value of the single measurement for sample 2.</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Notes </a:t>
          </a:r>
          <a:r>
            <a:rPr lang="en-US" sz="1100">
              <a:solidFill>
                <a:schemeClr val="dk1"/>
              </a:solidFill>
              <a:effectLst/>
              <a:latin typeface="Montserrat" pitchFamily="2" charset="0"/>
              <a:ea typeface="+mn-ea"/>
              <a:cs typeface="+mn-cs"/>
            </a:rPr>
            <a:t>(Voluntary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This field may be used to provide any other relevant information or clarifications.</a:t>
          </a: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2. Level 2 - Abiotic impact - Data entry</a:t>
          </a:r>
          <a:endParaRPr lang="en-NL" sz="1100" u="sng">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Only to be filled out if the level 1 monitoring results in an </a:t>
          </a:r>
          <a:r>
            <a:rPr lang="en-US" sz="1100" i="1">
              <a:solidFill>
                <a:schemeClr val="dk1"/>
              </a:solidFill>
              <a:effectLst/>
              <a:latin typeface="Montserrat" pitchFamily="2" charset="0"/>
              <a:ea typeface="+mn-ea"/>
              <a:cs typeface="+mn-cs"/>
            </a:rPr>
            <a:t>'unacceptable' </a:t>
          </a:r>
          <a:r>
            <a:rPr lang="en-US" sz="1100" b="0" i="0">
              <a:solidFill>
                <a:schemeClr val="dk1"/>
              </a:solidFill>
              <a:effectLst/>
              <a:latin typeface="Montserrat" pitchFamily="2" charset="0"/>
              <a:ea typeface="+mn-ea"/>
              <a:cs typeface="+mn-cs"/>
            </a:rPr>
            <a:t>benthic s</a:t>
          </a:r>
          <a:r>
            <a:rPr lang="en-US" sz="1100">
              <a:solidFill>
                <a:schemeClr val="dk1"/>
              </a:solidFill>
              <a:effectLst/>
              <a:latin typeface="Montserrat" pitchFamily="2" charset="0"/>
              <a:ea typeface="+mn-ea"/>
              <a:cs typeface="+mn-cs"/>
            </a:rPr>
            <a:t>tatus in table 5. </a:t>
          </a:r>
        </a:p>
        <a:p>
          <a:endParaRPr lang="en-NL" sz="1100" u="sng">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3. Level 1 and 2 - Abiotic impact - Average values and EQS category and score organized per EQS sampling zone and indicator</a:t>
          </a:r>
          <a:endParaRPr lang="en-NL" sz="1100" u="sng">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Abiotic indicator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The abiotic indicator is autopulated from table 1.</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The EQS sampling zone is autopopulated from table</a:t>
          </a:r>
          <a:r>
            <a:rPr lang="en-GB" sz="1100" baseline="0">
              <a:solidFill>
                <a:schemeClr val="dk1"/>
              </a:solidFill>
              <a:effectLst/>
              <a:latin typeface="Montserrat" pitchFamily="2" charset="0"/>
              <a:ea typeface="+mn-ea"/>
              <a:cs typeface="+mn-cs"/>
            </a:rPr>
            <a:t> 1</a:t>
          </a:r>
          <a:r>
            <a:rPr lang="en-GB" sz="1100">
              <a:solidFill>
                <a:schemeClr val="dk1"/>
              </a:solidFill>
              <a:effectLst/>
              <a:latin typeface="Montserrat" pitchFamily="2" charset="0"/>
              <a:ea typeface="+mn-ea"/>
              <a:cs typeface="+mn-cs"/>
            </a:rPr>
            <a:t>.</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indicator value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average indicator value per EQS sampling zone is automatically calculated from tables 1 and 2.</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category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EQS category is determined based on the thresholds from table 1 of Appendix 7.1 of the ASC Farm Standard.</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Indicator EQS score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indicator EQS score is determined based on the methodology of</a:t>
          </a:r>
          <a:r>
            <a:rPr lang="en-US" sz="1100" baseline="0">
              <a:solidFill>
                <a:schemeClr val="dk1"/>
              </a:solidFill>
              <a:effectLst/>
              <a:latin typeface="Montserrat" pitchFamily="2" charset="0"/>
              <a:ea typeface="+mn-ea"/>
              <a:cs typeface="+mn-cs"/>
            </a:rPr>
            <a:t> </a:t>
          </a:r>
          <a:r>
            <a:rPr lang="en-US" sz="1100">
              <a:solidFill>
                <a:schemeClr val="dk1"/>
              </a:solidFill>
              <a:effectLst/>
              <a:latin typeface="Montserrat" pitchFamily="2" charset="0"/>
              <a:ea typeface="+mn-ea"/>
              <a:cs typeface="+mn-cs"/>
            </a:rPr>
            <a:t>Appendix 7.2.2 of the ASC Farm Standard.</a:t>
          </a: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4. Level 1 and 2 - Abiotic impact - EQS score and EQS category by sampling zone </a:t>
          </a:r>
          <a:endParaRPr lang="en-NL" sz="1100" u="sng">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sampling zone (Autopopulated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EQS sampling zonse are autopopulated from table 1.</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score</a:t>
          </a:r>
          <a:r>
            <a:rPr lang="en-US" sz="1100">
              <a:solidFill>
                <a:schemeClr val="dk1"/>
              </a:solidFill>
              <a:effectLst/>
              <a:latin typeface="Montserrat" pitchFamily="2" charset="0"/>
              <a:ea typeface="+mn-ea"/>
              <a:cs typeface="+mn-cs"/>
            </a:rPr>
            <a:t> (Calculated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zone EQS score is determined based on methodology of Appendix 7.2.2 of the ASC Farm Standard.</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category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zone EQS category is determined based on methodology of Appendix 7.2.2 of the ASC Farm Standard.</a:t>
          </a:r>
        </a:p>
        <a:p>
          <a:endParaRPr lang="en-NL" sz="1100" u="sng">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5. Level 1 and 2 - Abiotic impact - Benthic status</a:t>
          </a:r>
          <a:endParaRPr lang="en-NL" sz="1100" u="sng">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Benthic status - Level 1 and 2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benthic status is determined using the zone EQS categories from table 4 using the methodology of Appendix 7.2.2 of ASC Farm Standard.</a:t>
          </a:r>
          <a:endParaRPr lang="en-NL" sz="1100">
            <a:latin typeface="Montserrat" pitchFamily="2" charset="0"/>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12</xdr:col>
      <xdr:colOff>11042</xdr:colOff>
      <xdr:row>2</xdr:row>
      <xdr:rowOff>0</xdr:rowOff>
    </xdr:from>
    <xdr:to>
      <xdr:col>24</xdr:col>
      <xdr:colOff>11708</xdr:colOff>
      <xdr:row>61</xdr:row>
      <xdr:rowOff>0</xdr:rowOff>
    </xdr:to>
    <xdr:sp macro="" textlink="">
      <xdr:nvSpPr>
        <xdr:cNvPr id="5" name="TextBox 2">
          <a:extLst>
            <a:ext uri="{FF2B5EF4-FFF2-40B4-BE49-F238E27FC236}">
              <a16:creationId xmlns:a16="http://schemas.microsoft.com/office/drawing/2014/main" id="{4F817DD0-1503-4FF1-A389-1501E87468E1}"/>
            </a:ext>
          </a:extLst>
        </xdr:cNvPr>
        <xdr:cNvSpPr txBox="1"/>
      </xdr:nvSpPr>
      <xdr:spPr>
        <a:xfrm>
          <a:off x="12869792" y="428625"/>
          <a:ext cx="7573041" cy="12561094"/>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ontserrat" pitchFamily="2" charset="0"/>
              <a:ea typeface="+mn-ea"/>
              <a:cs typeface="+mn-cs"/>
            </a:rPr>
            <a:t>USER GUIDANCE</a:t>
          </a:r>
        </a:p>
        <a:p>
          <a:r>
            <a:rPr lang="en-US" sz="1100" b="0">
              <a:solidFill>
                <a:schemeClr val="dk1"/>
              </a:solidFill>
              <a:effectLst/>
              <a:latin typeface="Montserrat" pitchFamily="2" charset="0"/>
              <a:ea typeface="+mn-ea"/>
              <a:cs typeface="+mn-cs"/>
            </a:rPr>
            <a:t>This template is used to report sampling results for monitoring level 3 and should only be filled If the monitoring level 1 and 2 results in an '</a:t>
          </a:r>
          <a:r>
            <a:rPr lang="en-US" sz="1100" b="0" i="1">
              <a:solidFill>
                <a:schemeClr val="dk1"/>
              </a:solidFill>
              <a:effectLst/>
              <a:latin typeface="Montserrat" pitchFamily="2" charset="0"/>
              <a:ea typeface="+mn-ea"/>
              <a:cs typeface="+mn-cs"/>
            </a:rPr>
            <a:t>unacceptable</a:t>
          </a:r>
          <a:r>
            <a:rPr lang="en-US" sz="1100" b="0">
              <a:solidFill>
                <a:schemeClr val="dk1"/>
              </a:solidFill>
              <a:effectLst/>
              <a:latin typeface="Montserrat" pitchFamily="2" charset="0"/>
              <a:ea typeface="+mn-ea"/>
              <a:cs typeface="+mn-cs"/>
            </a:rPr>
            <a:t>' benthic status. The ecological</a:t>
          </a:r>
          <a:r>
            <a:rPr lang="en-US" sz="1100" b="0" baseline="0">
              <a:solidFill>
                <a:schemeClr val="dk1"/>
              </a:solidFill>
              <a:effectLst/>
              <a:latin typeface="Montserrat" pitchFamily="2" charset="0"/>
              <a:ea typeface="+mn-ea"/>
              <a:cs typeface="+mn-cs"/>
            </a:rPr>
            <a:t> quality status (</a:t>
          </a:r>
          <a:r>
            <a:rPr lang="en-US" sz="1100" b="0">
              <a:solidFill>
                <a:schemeClr val="dk1"/>
              </a:solidFill>
              <a:effectLst/>
              <a:latin typeface="Montserrat" pitchFamily="2" charset="0"/>
              <a:ea typeface="+mn-ea"/>
              <a:cs typeface="+mn-cs"/>
            </a:rPr>
            <a:t>EQS) score and category per sampling zone for each biotic indicator (table 2), the zone EQS score and category (table 3) and finally the site-specific benthic status (table 4) are all automatically calculated based on the reported sample values in table 1.</a:t>
          </a:r>
          <a:r>
            <a:rPr lang="en-US" sz="1100" b="0" baseline="0">
              <a:solidFill>
                <a:schemeClr val="dk1"/>
              </a:solidFill>
              <a:effectLst/>
              <a:latin typeface="Montserrat" pitchFamily="2" charset="0"/>
              <a:ea typeface="+mn-ea"/>
              <a:cs typeface="+mn-cs"/>
            </a:rPr>
            <a:t> </a:t>
          </a:r>
          <a:r>
            <a:rPr lang="en-US" sz="1100" b="0">
              <a:solidFill>
                <a:schemeClr val="dk1"/>
              </a:solidFill>
              <a:effectLst/>
              <a:latin typeface="Montserrat" pitchFamily="2" charset="0"/>
              <a:ea typeface="+mn-ea"/>
              <a:cs typeface="+mn-cs"/>
            </a:rPr>
            <a:t>This template follows the methodology provided in appendix 7.2 of the ASC Farm Standard.</a:t>
          </a: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1. Level 3 - Biotic impact - Data entry</a:t>
          </a:r>
          <a:endParaRPr lang="en-GB">
            <a:effectLst/>
            <a:latin typeface="Montserrat" pitchFamily="2" charset="0"/>
          </a:endParaRPr>
        </a:p>
        <a:p>
          <a:r>
            <a:rPr lang="en-US" sz="1100" b="1">
              <a:solidFill>
                <a:schemeClr val="dk1"/>
              </a:solidFill>
              <a:effectLst/>
              <a:latin typeface="Montserrat" pitchFamily="2" charset="0"/>
              <a:ea typeface="+mn-ea"/>
              <a:cs typeface="+mn-cs"/>
            </a:rPr>
            <a:t>Sampling date (dd-mm-yyyy)</a:t>
          </a:r>
          <a:r>
            <a:rPr lang="en-US"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date when the sampling occurred. </a:t>
          </a:r>
        </a:p>
        <a:p>
          <a:endParaRPr lang="en-GB">
            <a:effectLst/>
            <a:latin typeface="Montserrat" pitchFamily="2" charset="0"/>
          </a:endParaRPr>
        </a:p>
        <a:p>
          <a:r>
            <a:rPr lang="en-GB" sz="1100" b="1">
              <a:solidFill>
                <a:schemeClr val="dk1"/>
              </a:solidFill>
              <a:effectLst/>
              <a:latin typeface="Montserrat" pitchFamily="2" charset="0"/>
              <a:ea typeface="+mn-ea"/>
              <a:cs typeface="+mn-cs"/>
            </a:rPr>
            <a:t>Biotic indicator (select)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Select the three chosen biotic indicators using the dropdown menu.</a:t>
          </a:r>
          <a:endParaRPr lang="en-GB">
            <a:effectLst/>
            <a:latin typeface="Montserrat" pitchFamily="2" charset="0"/>
          </a:endParaRPr>
        </a:p>
        <a:p>
          <a:endParaRPr lang="en-GB">
            <a:effectLst/>
            <a:latin typeface="Montserrat" pitchFamily="2" charset="0"/>
          </a:endParaRPr>
        </a:p>
        <a:p>
          <a:r>
            <a:rPr lang="en-US" sz="1100" b="1">
              <a:solidFill>
                <a:schemeClr val="dk1"/>
              </a:solidFill>
              <a:effectLst/>
              <a:latin typeface="Montserrat" pitchFamily="2" charset="0"/>
              <a:ea typeface="+mn-ea"/>
              <a:cs typeface="+mn-cs"/>
            </a:rPr>
            <a:t>Direction compared to water flow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direction of the sampling point with respect to the direction of the residual current. </a:t>
          </a:r>
          <a:r>
            <a:rPr lang="en-US" sz="1100">
              <a:solidFill>
                <a:schemeClr val="dk1"/>
              </a:solidFill>
              <a:effectLst/>
              <a:latin typeface="Montserrat" pitchFamily="2" charset="0"/>
              <a:ea typeface="+mn-ea"/>
              <a:cs typeface="+mn-cs"/>
            </a:rPr>
            <a:t>Free text is possible if the direction compared to water flow deviates from the prescribed methodology.</a:t>
          </a:r>
        </a:p>
        <a:p>
          <a:endParaRPr lang="en-GB">
            <a:effectLst/>
            <a:latin typeface="Montserrat" pitchFamily="2" charset="0"/>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Indicates the EQS sampling zone where the sample is taken.</a:t>
          </a:r>
        </a:p>
        <a:p>
          <a:endParaRPr lang="en-GB">
            <a:effectLst/>
            <a:latin typeface="Montserrat" pitchFamily="2" charset="0"/>
          </a:endParaRPr>
        </a:p>
        <a:p>
          <a:r>
            <a:rPr lang="en-GB" sz="1100" b="1">
              <a:solidFill>
                <a:schemeClr val="dk1"/>
              </a:solidFill>
              <a:effectLst/>
              <a:latin typeface="Montserrat" pitchFamily="2" charset="0"/>
              <a:ea typeface="+mn-ea"/>
              <a:cs typeface="+mn-cs"/>
            </a:rPr>
            <a:t>Distance from edge of cages (m)</a:t>
          </a:r>
          <a:r>
            <a:rPr lang="en-GB"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distance in</a:t>
          </a:r>
          <a:r>
            <a:rPr lang="en-GB" sz="1100" baseline="0">
              <a:solidFill>
                <a:schemeClr val="dk1"/>
              </a:solidFill>
              <a:effectLst/>
              <a:latin typeface="Montserrat" pitchFamily="2" charset="0"/>
              <a:ea typeface="+mn-ea"/>
              <a:cs typeface="+mn-cs"/>
            </a:rPr>
            <a:t> </a:t>
          </a:r>
          <a:r>
            <a:rPr lang="en-GB" sz="1100">
              <a:solidFill>
                <a:schemeClr val="dk1"/>
              </a:solidFill>
              <a:effectLst/>
              <a:latin typeface="Montserrat" pitchFamily="2" charset="0"/>
              <a:ea typeface="+mn-ea"/>
              <a:cs typeface="+mn-cs"/>
            </a:rPr>
            <a:t>meters (m) from the cage where the sampling occurred. </a:t>
          </a:r>
          <a:r>
            <a:rPr lang="en-US" sz="1100">
              <a:solidFill>
                <a:schemeClr val="dk1"/>
              </a:solidFill>
              <a:effectLst/>
              <a:latin typeface="Montserrat" pitchFamily="2" charset="0"/>
              <a:ea typeface="+mn-ea"/>
              <a:cs typeface="+mn-cs"/>
            </a:rPr>
            <a:t>Free text is possible if distance from the cage deviates from the prescribed methodology.</a:t>
          </a:r>
          <a:endParaRPr lang="en-GB">
            <a:effectLst/>
            <a:latin typeface="Montserrat" pitchFamily="2" charset="0"/>
          </a:endParaRP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1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average value of the single measuremnt of each chosen biotic indicator for sample 1. </a:t>
          </a:r>
        </a:p>
        <a:p>
          <a:endParaRPr lang="en-US"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2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average value of the single measuremnt of each chosen biotic indicator for sample 2. </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Notes </a:t>
          </a:r>
          <a:r>
            <a:rPr lang="en-US" sz="1100">
              <a:solidFill>
                <a:schemeClr val="dk1"/>
              </a:solidFill>
              <a:effectLst/>
              <a:latin typeface="Montserrat" pitchFamily="2" charset="0"/>
              <a:ea typeface="+mn-ea"/>
              <a:cs typeface="+mn-cs"/>
            </a:rPr>
            <a:t>(Voluntary field)</a:t>
          </a:r>
          <a:endParaRPr lang="en-GB">
            <a:effectLst/>
            <a:latin typeface="Montserrat" pitchFamily="2" charset="0"/>
          </a:endParaRPr>
        </a:p>
        <a:p>
          <a:r>
            <a:rPr lang="en-US" sz="1100">
              <a:solidFill>
                <a:schemeClr val="dk1"/>
              </a:solidFill>
              <a:effectLst/>
              <a:latin typeface="Montserrat" pitchFamily="2" charset="0"/>
              <a:ea typeface="+mn-ea"/>
              <a:cs typeface="+mn-cs"/>
            </a:rPr>
            <a:t>This field may be used to provide any other relevant information or clarifications.</a:t>
          </a: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2. Level 3 - Biotic impact - Average values and EQS category and score organized per EQS sampling zone and indicator</a:t>
          </a:r>
          <a:endParaRPr lang="en-GB">
            <a:effectLst/>
            <a:latin typeface="Montserrat" pitchFamily="2" charset="0"/>
          </a:endParaRPr>
        </a:p>
        <a:p>
          <a:r>
            <a:rPr lang="en-GB" sz="1100" b="1">
              <a:solidFill>
                <a:schemeClr val="dk1"/>
              </a:solidFill>
              <a:effectLst/>
              <a:latin typeface="Montserrat" pitchFamily="2" charset="0"/>
              <a:ea typeface="+mn-ea"/>
              <a:cs typeface="+mn-cs"/>
            </a:rPr>
            <a:t>Biotic indicator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GB" sz="1100">
              <a:solidFill>
                <a:schemeClr val="dk1"/>
              </a:solidFill>
              <a:effectLst/>
              <a:latin typeface="Montserrat" pitchFamily="2" charset="0"/>
              <a:ea typeface="+mn-ea"/>
              <a:cs typeface="+mn-cs"/>
            </a:rPr>
            <a:t>The biotic indicators are</a:t>
          </a:r>
          <a:r>
            <a:rPr lang="en-GB" sz="1100" baseline="0">
              <a:solidFill>
                <a:schemeClr val="dk1"/>
              </a:solidFill>
              <a:effectLst/>
              <a:latin typeface="Montserrat" pitchFamily="2" charset="0"/>
              <a:ea typeface="+mn-ea"/>
              <a:cs typeface="+mn-cs"/>
            </a:rPr>
            <a:t> </a:t>
          </a:r>
          <a:r>
            <a:rPr lang="en-GB" sz="1100">
              <a:solidFill>
                <a:schemeClr val="dk1"/>
              </a:solidFill>
              <a:effectLst/>
              <a:latin typeface="Montserrat" pitchFamily="2" charset="0"/>
              <a:ea typeface="+mn-ea"/>
              <a:cs typeface="+mn-cs"/>
            </a:rPr>
            <a:t>autopulated from table 1.</a:t>
          </a:r>
          <a:endParaRPr lang="en-GB">
            <a:effectLst/>
            <a:latin typeface="Montserrat" pitchFamily="2" charset="0"/>
          </a:endParaRP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GB" sz="1100">
              <a:solidFill>
                <a:schemeClr val="dk1"/>
              </a:solidFill>
              <a:effectLst/>
              <a:latin typeface="Montserrat" pitchFamily="2" charset="0"/>
              <a:ea typeface="+mn-ea"/>
              <a:cs typeface="+mn-cs"/>
            </a:rPr>
            <a:t>The EQS sampling zone is autopopulated from table 1.</a:t>
          </a:r>
          <a:endParaRPr lang="en-GB">
            <a:effectLst/>
            <a:latin typeface="Montserrat" pitchFamily="2" charset="0"/>
          </a:endParaRP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indicator value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average indicator value per EQS sampling zone is automatically calculated from table 1.</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category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chemeClr val="dk1"/>
              </a:solidFill>
              <a:effectLst/>
              <a:latin typeface="Montserrat" pitchFamily="2" charset="0"/>
              <a:ea typeface="+mn-ea"/>
              <a:cs typeface="+mn-cs"/>
            </a:rPr>
            <a:t>The EQS category is determined based on the threshold from table 2 of Appendix 7.1 of the ASC Farm Standard.</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Indicator EQS score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indicator EQS score is determined based on methodology of Appendix 7.2.2 of the ASC Farm Standard.</a:t>
          </a:r>
          <a:endParaRPr lang="en-GB">
            <a:effectLst/>
            <a:latin typeface="Montserrat" pitchFamily="2" charset="0"/>
          </a:endParaRPr>
        </a:p>
        <a:p>
          <a:endParaRPr lang="en-US"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3. Level 3 - Biotic impact - EQS classification per sampling zone</a:t>
          </a:r>
          <a:endParaRPr lang="en-US"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sampling zone (Autopopulated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EQS sampling zonse are autopopulated from table 1.</a:t>
          </a: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score</a:t>
          </a:r>
          <a:r>
            <a:rPr lang="en-US" sz="1100">
              <a:solidFill>
                <a:schemeClr val="dk1"/>
              </a:solidFill>
              <a:effectLst/>
              <a:latin typeface="Montserrat" pitchFamily="2" charset="0"/>
              <a:ea typeface="+mn-ea"/>
              <a:cs typeface="+mn-cs"/>
            </a:rPr>
            <a:t> (Calculated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zone EQS score is determined based on methodology of Appendix 7.2.2 of the ASC Farm Standard.</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category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zone EQS category is determined based on methodology of Appendix 7.2.2 of the ASC Farm Standard.</a:t>
          </a:r>
          <a:endParaRPr lang="en-GB">
            <a:effectLst/>
            <a:latin typeface="Montserrat" pitchFamily="2" charset="0"/>
          </a:endParaRPr>
        </a:p>
        <a:p>
          <a:endParaRPr lang="en-US" sz="1100" b="1" u="sng">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4. Level 3 - Biotic impact - Benthic status</a:t>
          </a:r>
        </a:p>
        <a:p>
          <a:r>
            <a:rPr lang="en-US" sz="1100" b="1">
              <a:solidFill>
                <a:schemeClr val="dk1"/>
              </a:solidFill>
              <a:effectLst/>
              <a:latin typeface="Montserrat" pitchFamily="2" charset="0"/>
              <a:ea typeface="+mn-ea"/>
              <a:cs typeface="+mn-cs"/>
            </a:rPr>
            <a:t>Benthic status - Level 3 </a:t>
          </a:r>
          <a:r>
            <a:rPr lang="en-US" sz="1100">
              <a:solidFill>
                <a:schemeClr val="dk1"/>
              </a:solidFill>
              <a:effectLst/>
              <a:latin typeface="Montserrat" pitchFamily="2" charset="0"/>
              <a:ea typeface="+mn-ea"/>
              <a:cs typeface="+mn-cs"/>
            </a:rPr>
            <a:t>(Autopopulated fiel)</a:t>
          </a:r>
          <a:endParaRPr lang="en-GB">
            <a:effectLst/>
            <a:latin typeface="Montserrat"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chemeClr val="dk1"/>
              </a:solidFill>
              <a:effectLst/>
              <a:latin typeface="Montserrat" pitchFamily="2" charset="0"/>
              <a:ea typeface="+mn-ea"/>
              <a:cs typeface="+mn-cs"/>
            </a:rPr>
            <a:t>The benthic status is determined using the zone EQS categories from table 3  and based on the methodology of Appendix 7.2.2 of the ASC Farm Standard.</a:t>
          </a:r>
          <a:endParaRPr lang="en-GB">
            <a:effectLst/>
            <a:latin typeface="Montserrat" pitchFamily="2" charset="0"/>
          </a:endParaRPr>
        </a:p>
        <a:p>
          <a:endParaRPr lang="en-US" sz="1100" b="1" u="sng">
            <a:solidFill>
              <a:schemeClr val="dk1"/>
            </a:solidFill>
            <a:effectLst/>
            <a:latin typeface="Montserrat" pitchFamily="2" charset="0"/>
            <a:ea typeface="+mn-ea"/>
            <a:cs typeface="+mn-cs"/>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12</xdr:col>
      <xdr:colOff>8731</xdr:colOff>
      <xdr:row>3</xdr:row>
      <xdr:rowOff>28389</xdr:rowOff>
    </xdr:from>
    <xdr:to>
      <xdr:col>24</xdr:col>
      <xdr:colOff>0</xdr:colOff>
      <xdr:row>71</xdr:row>
      <xdr:rowOff>11906</xdr:rowOff>
    </xdr:to>
    <xdr:sp macro="" textlink="">
      <xdr:nvSpPr>
        <xdr:cNvPr id="3" name="TextBox 8">
          <a:extLst>
            <a:ext uri="{FF2B5EF4-FFF2-40B4-BE49-F238E27FC236}">
              <a16:creationId xmlns:a16="http://schemas.microsoft.com/office/drawing/2014/main" id="{C015D37E-F890-49E0-B33D-56DA7AF8887E}"/>
            </a:ext>
          </a:extLst>
        </xdr:cNvPr>
        <xdr:cNvSpPr txBox="1"/>
      </xdr:nvSpPr>
      <xdr:spPr>
        <a:xfrm>
          <a:off x="12938919" y="457014"/>
          <a:ext cx="7563644" cy="14175767"/>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ontserrat" pitchFamily="2" charset="0"/>
              <a:ea typeface="+mn-ea"/>
              <a:cs typeface="+mn-cs"/>
            </a:rPr>
            <a:t>USER GUIDANCE</a:t>
          </a:r>
        </a:p>
        <a:p>
          <a:r>
            <a:rPr lang="en-US" sz="1100" b="0">
              <a:solidFill>
                <a:schemeClr val="dk1"/>
              </a:solidFill>
              <a:effectLst/>
              <a:latin typeface="Montserrat" pitchFamily="2" charset="0"/>
              <a:ea typeface="+mn-ea"/>
              <a:cs typeface="+mn-cs"/>
            </a:rPr>
            <a:t>This template is used to report sampling results for monitoring level 1 and level 2. The ecological quality score (EQS) category and score per sampling zone for each abiotic indicator (table 3), the zone EQS score and category (table 4) and finally the site-specific benthic status (table 5) are all automatically calculated based on the reported sample values in table 1 (monitoring level 1) and table 2 (monitoring level 2). This template follows the methodology provided in appendix 7.4 of the ASC Farm Standard.</a:t>
          </a:r>
        </a:p>
        <a:p>
          <a:endParaRPr lang="en-US" sz="1100" b="0">
            <a:solidFill>
              <a:schemeClr val="dk1"/>
            </a:solidFill>
            <a:effectLst/>
            <a:latin typeface="Montserrat" pitchFamily="2" charset="0"/>
            <a:ea typeface="+mn-ea"/>
            <a:cs typeface="+mn-cs"/>
          </a:endParaRPr>
        </a:p>
        <a:p>
          <a:r>
            <a:rPr lang="en-US" sz="1100" b="0">
              <a:solidFill>
                <a:schemeClr val="dk1"/>
              </a:solidFill>
              <a:effectLst/>
              <a:latin typeface="Montserrat" pitchFamily="2" charset="0"/>
              <a:ea typeface="+mn-ea"/>
              <a:cs typeface="+mn-cs"/>
            </a:rPr>
            <a:t>If monitoring level 1 results in an '</a:t>
          </a:r>
          <a:r>
            <a:rPr lang="en-US" sz="1100" b="0" i="1">
              <a:solidFill>
                <a:schemeClr val="dk1"/>
              </a:solidFill>
              <a:effectLst/>
              <a:latin typeface="Montserrat" pitchFamily="2" charset="0"/>
              <a:ea typeface="+mn-ea"/>
              <a:cs typeface="+mn-cs"/>
            </a:rPr>
            <a:t>acceptable</a:t>
          </a:r>
          <a:r>
            <a:rPr lang="en-US" sz="1100" b="0">
              <a:solidFill>
                <a:schemeClr val="dk1"/>
              </a:solidFill>
              <a:effectLst/>
              <a:latin typeface="Montserrat" pitchFamily="2" charset="0"/>
              <a:ea typeface="+mn-ea"/>
              <a:cs typeface="+mn-cs"/>
            </a:rPr>
            <a:t>' benthic status, no reporting for level 2 in table 2 is required.</a:t>
          </a:r>
        </a:p>
        <a:p>
          <a:endParaRPr lang="en-US" sz="1100" b="0">
            <a:solidFill>
              <a:schemeClr val="dk1"/>
            </a:solidFill>
            <a:effectLst/>
            <a:latin typeface="Montserrat" pitchFamily="2" charset="0"/>
            <a:ea typeface="+mn-ea"/>
            <a:cs typeface="+mn-cs"/>
          </a:endParaRPr>
        </a:p>
        <a:p>
          <a:r>
            <a:rPr lang="en-US" sz="1100" b="0" i="1">
              <a:solidFill>
                <a:schemeClr val="dk1"/>
              </a:solidFill>
              <a:effectLst/>
              <a:latin typeface="Montserrat" pitchFamily="2" charset="0"/>
              <a:ea typeface="+mn-ea"/>
              <a:cs typeface="+mn-cs"/>
            </a:rPr>
            <a:t>Note: For total free sulphide the ISE method is only allowed during the transition period of the ASC Farm Standard. Thereafter only the UV method is accepted.</a:t>
          </a: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1. Level 1 - Abiotic impact - Data entry</a:t>
          </a:r>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Sampling date (dd-mm-yyyy)</a:t>
          </a:r>
          <a:r>
            <a:rPr lang="en-US"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date when the sampling occurred. </a:t>
          </a:r>
        </a:p>
        <a:p>
          <a:endParaRPr lang="en-GB">
            <a:effectLst/>
            <a:latin typeface="Montserrat" pitchFamily="2" charset="0"/>
          </a:endParaRPr>
        </a:p>
        <a:p>
          <a:r>
            <a:rPr lang="en-GB" sz="1100" b="1">
              <a:solidFill>
                <a:schemeClr val="dk1"/>
              </a:solidFill>
              <a:effectLst/>
              <a:latin typeface="Montserrat" pitchFamily="2" charset="0"/>
              <a:ea typeface="+mn-ea"/>
              <a:cs typeface="+mn-cs"/>
            </a:rPr>
            <a:t>Abiotic indicator (select)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Select the total free sulphide method used using the dropdown menu. The Redox potential is autopopulated. </a:t>
          </a:r>
        </a:p>
        <a:p>
          <a:endParaRPr lang="en-GB">
            <a:effectLst/>
            <a:latin typeface="Montserrat" pitchFamily="2" charset="0"/>
          </a:endParaRPr>
        </a:p>
        <a:p>
          <a:r>
            <a:rPr lang="en-US" sz="1100" b="1">
              <a:solidFill>
                <a:schemeClr val="dk1"/>
              </a:solidFill>
              <a:effectLst/>
              <a:latin typeface="Montserrat" pitchFamily="2" charset="0"/>
              <a:ea typeface="+mn-ea"/>
              <a:cs typeface="+mn-cs"/>
            </a:rPr>
            <a:t>Direction compared to water flow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direction of the sampling point with respect to the direction of the residual current. </a:t>
          </a:r>
          <a:r>
            <a:rPr lang="en-US" sz="1100">
              <a:solidFill>
                <a:schemeClr val="dk1"/>
              </a:solidFill>
              <a:effectLst/>
              <a:latin typeface="Montserrat" pitchFamily="2" charset="0"/>
              <a:ea typeface="+mn-ea"/>
              <a:cs typeface="+mn-cs"/>
            </a:rPr>
            <a:t>Free text is possible if the direction compared to water flow deviates from the prescribed methodology.</a:t>
          </a:r>
        </a:p>
        <a:p>
          <a:endParaRPr lang="en-GB">
            <a:effectLst/>
            <a:latin typeface="Montserrat" pitchFamily="2" charset="0"/>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Indicates the EQS sampling zone where the sample is taken.</a:t>
          </a:r>
        </a:p>
        <a:p>
          <a:endParaRPr lang="en-GB">
            <a:effectLst/>
            <a:latin typeface="Montserrat" pitchFamily="2" charset="0"/>
          </a:endParaRPr>
        </a:p>
        <a:p>
          <a:r>
            <a:rPr lang="en-GB" sz="1100" b="1">
              <a:solidFill>
                <a:schemeClr val="dk1"/>
              </a:solidFill>
              <a:effectLst/>
              <a:latin typeface="Montserrat" pitchFamily="2" charset="0"/>
              <a:ea typeface="+mn-ea"/>
              <a:cs typeface="+mn-cs"/>
            </a:rPr>
            <a:t>Distance from site boundary (m)</a:t>
          </a:r>
          <a:r>
            <a:rPr lang="en-GB"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distance in</a:t>
          </a:r>
          <a:r>
            <a:rPr lang="en-GB" sz="1100" baseline="0">
              <a:solidFill>
                <a:schemeClr val="dk1"/>
              </a:solidFill>
              <a:effectLst/>
              <a:latin typeface="Montserrat" pitchFamily="2" charset="0"/>
              <a:ea typeface="+mn-ea"/>
              <a:cs typeface="+mn-cs"/>
            </a:rPr>
            <a:t> </a:t>
          </a:r>
          <a:r>
            <a:rPr lang="en-GB" sz="1100">
              <a:solidFill>
                <a:schemeClr val="dk1"/>
              </a:solidFill>
              <a:effectLst/>
              <a:latin typeface="Montserrat" pitchFamily="2" charset="0"/>
              <a:ea typeface="+mn-ea"/>
              <a:cs typeface="+mn-cs"/>
            </a:rPr>
            <a:t>meters (m) from the site boundary where the sampling occurred. </a:t>
          </a:r>
          <a:r>
            <a:rPr lang="en-US" sz="1100">
              <a:solidFill>
                <a:schemeClr val="dk1"/>
              </a:solidFill>
              <a:effectLst/>
              <a:latin typeface="Montserrat" pitchFamily="2" charset="0"/>
              <a:ea typeface="+mn-ea"/>
              <a:cs typeface="+mn-cs"/>
            </a:rPr>
            <a:t>Free text is possible if distance from the site boundary deviates from the prescribed methodology.</a:t>
          </a:r>
          <a:endParaRPr lang="en-GB">
            <a:effectLst/>
            <a:latin typeface="Montserrat" pitchFamily="2" charset="0"/>
          </a:endParaRP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1 </a:t>
          </a:r>
          <a:r>
            <a:rPr lang="en-US" sz="1100">
              <a:solidFill>
                <a:schemeClr val="dk1"/>
              </a:solidFill>
              <a:effectLst/>
              <a:latin typeface="Montserrat" pitchFamily="2" charset="0"/>
              <a:ea typeface="+mn-ea"/>
              <a:cs typeface="+mn-cs"/>
            </a:rPr>
            <a:t>(Mandatory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For Total free sulphide (S2-): provide the average value of the triplicate for sample 1. </a:t>
          </a:r>
        </a:p>
        <a:p>
          <a:r>
            <a:rPr lang="en-US" sz="1100">
              <a:solidFill>
                <a:schemeClr val="dk1"/>
              </a:solidFill>
              <a:effectLst/>
              <a:latin typeface="Montserrat" pitchFamily="2" charset="0"/>
              <a:ea typeface="+mn-ea"/>
              <a:cs typeface="+mn-cs"/>
            </a:rPr>
            <a:t>For Redox potential (Eh): provide the value of the single measurement for sample 1.</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2 </a:t>
          </a:r>
          <a:r>
            <a:rPr lang="en-US" sz="1100">
              <a:solidFill>
                <a:schemeClr val="dk1"/>
              </a:solidFill>
              <a:effectLst/>
              <a:latin typeface="Montserrat" pitchFamily="2" charset="0"/>
              <a:ea typeface="+mn-ea"/>
              <a:cs typeface="+mn-cs"/>
            </a:rPr>
            <a:t>(Mandatory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For Total free sulphide (S2-): provide the average value of the triplicate for sample 2. </a:t>
          </a:r>
        </a:p>
        <a:p>
          <a:r>
            <a:rPr lang="en-US" sz="1100">
              <a:solidFill>
                <a:schemeClr val="dk1"/>
              </a:solidFill>
              <a:effectLst/>
              <a:latin typeface="Montserrat" pitchFamily="2" charset="0"/>
              <a:ea typeface="+mn-ea"/>
              <a:cs typeface="+mn-cs"/>
            </a:rPr>
            <a:t>For Redox potential (Eh): provide the value of the single measurement for sample 2.</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Notes </a:t>
          </a:r>
          <a:r>
            <a:rPr lang="en-US" sz="1100">
              <a:solidFill>
                <a:schemeClr val="dk1"/>
              </a:solidFill>
              <a:effectLst/>
              <a:latin typeface="Montserrat" pitchFamily="2" charset="0"/>
              <a:ea typeface="+mn-ea"/>
              <a:cs typeface="+mn-cs"/>
            </a:rPr>
            <a:t>(Voluntary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This field may be used to provide any other relevant information or clarifications.</a:t>
          </a: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2. Level 2 - Abiotic impact - Data entry</a:t>
          </a:r>
          <a:endParaRPr lang="en-NL" sz="1100" u="sng">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Only to be filled out if the level 1 monitoring results in an </a:t>
          </a:r>
          <a:r>
            <a:rPr lang="en-US" sz="1100" i="1">
              <a:solidFill>
                <a:schemeClr val="dk1"/>
              </a:solidFill>
              <a:effectLst/>
              <a:latin typeface="Montserrat" pitchFamily="2" charset="0"/>
              <a:ea typeface="+mn-ea"/>
              <a:cs typeface="+mn-cs"/>
            </a:rPr>
            <a:t>'unacceptable' </a:t>
          </a:r>
          <a:r>
            <a:rPr lang="en-US" sz="1100">
              <a:solidFill>
                <a:schemeClr val="dk1"/>
              </a:solidFill>
              <a:effectLst/>
              <a:latin typeface="Montserrat" pitchFamily="2" charset="0"/>
              <a:ea typeface="+mn-ea"/>
              <a:cs typeface="+mn-cs"/>
            </a:rPr>
            <a:t>benthic status in table 5. </a:t>
          </a:r>
        </a:p>
        <a:p>
          <a:endParaRPr lang="en-NL" sz="1100" u="sng">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3. Level 1 and 2 - Abiotic impact - Average values and EQS category and score organized per EQS sampling zone and indicator</a:t>
          </a:r>
          <a:endParaRPr lang="en-NL" sz="1100" u="sng">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Abiotic indicator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The abiotic indicator is autopulated from table 1.</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The EQS sampling zone is autopopulated from table</a:t>
          </a:r>
          <a:r>
            <a:rPr lang="en-GB" sz="1100" baseline="0">
              <a:solidFill>
                <a:schemeClr val="dk1"/>
              </a:solidFill>
              <a:effectLst/>
              <a:latin typeface="Montserrat" pitchFamily="2" charset="0"/>
              <a:ea typeface="+mn-ea"/>
              <a:cs typeface="+mn-cs"/>
            </a:rPr>
            <a:t> 1</a:t>
          </a:r>
          <a:r>
            <a:rPr lang="en-GB" sz="1100">
              <a:solidFill>
                <a:schemeClr val="dk1"/>
              </a:solidFill>
              <a:effectLst/>
              <a:latin typeface="Montserrat" pitchFamily="2" charset="0"/>
              <a:ea typeface="+mn-ea"/>
              <a:cs typeface="+mn-cs"/>
            </a:rPr>
            <a:t>.</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indicator value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average indicator value per EQS sampling zone is automatically calculated from tables 1 and 2.</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category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EQS category is determined based on the threshold from table 1 iof Appendix 7.1 </a:t>
          </a:r>
          <a:r>
            <a:rPr lang="en-US" sz="1100" b="0">
              <a:solidFill>
                <a:schemeClr val="dk1"/>
              </a:solidFill>
              <a:effectLst/>
              <a:latin typeface="Montserrat" pitchFamily="2" charset="0"/>
              <a:ea typeface="+mn-ea"/>
              <a:cs typeface="+mn-cs"/>
            </a:rPr>
            <a:t>of the ASC Farm Standard.</a:t>
          </a:r>
          <a:endParaRPr lang="en-GB">
            <a:effectLst/>
            <a:latin typeface="Montserrat" pitchFamily="2" charset="0"/>
          </a:endParaRP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Indicator EQS score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indicator EQS score is determined based on methodology of Appendix 7.4.2 </a:t>
          </a:r>
          <a:r>
            <a:rPr lang="en-US" sz="1100" b="0">
              <a:solidFill>
                <a:schemeClr val="dk1"/>
              </a:solidFill>
              <a:effectLst/>
              <a:latin typeface="Montserrat" pitchFamily="2" charset="0"/>
              <a:ea typeface="+mn-ea"/>
              <a:cs typeface="+mn-cs"/>
            </a:rPr>
            <a:t>of the ASC Farm Standard.</a:t>
          </a: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4. Level 1 and 2- Abiotic impact - EQS score and EQS category by sampling zone </a:t>
          </a:r>
          <a:endParaRPr lang="en-NL" sz="1100" u="sng">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sampling zone (Autopopulated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EQS sampling zonse are autopopulated from table 1.</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score</a:t>
          </a:r>
          <a:r>
            <a:rPr lang="en-US" sz="1100">
              <a:solidFill>
                <a:schemeClr val="dk1"/>
              </a:solidFill>
              <a:effectLst/>
              <a:latin typeface="Montserrat" pitchFamily="2" charset="0"/>
              <a:ea typeface="+mn-ea"/>
              <a:cs typeface="+mn-cs"/>
            </a:rPr>
            <a:t> (Calculated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zone EQS score is determined based on methodology of Appendix 7.4.2 </a:t>
          </a:r>
          <a:r>
            <a:rPr lang="en-US" sz="1100" b="0">
              <a:solidFill>
                <a:schemeClr val="dk1"/>
              </a:solidFill>
              <a:effectLst/>
              <a:latin typeface="Montserrat" pitchFamily="2" charset="0"/>
              <a:ea typeface="+mn-ea"/>
              <a:cs typeface="+mn-cs"/>
            </a:rPr>
            <a:t>of the ASC Farm Standard.</a:t>
          </a:r>
          <a:endParaRPr lang="en-GB">
            <a:effectLst/>
            <a:latin typeface="Montserrat" pitchFamily="2" charset="0"/>
          </a:endParaRP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category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zone EQS category is determined based on methodology of Appendix 7.4.2 </a:t>
          </a:r>
          <a:r>
            <a:rPr lang="en-US" sz="1100" b="0">
              <a:solidFill>
                <a:schemeClr val="dk1"/>
              </a:solidFill>
              <a:effectLst/>
              <a:latin typeface="Montserrat" pitchFamily="2" charset="0"/>
              <a:ea typeface="+mn-ea"/>
              <a:cs typeface="+mn-cs"/>
            </a:rPr>
            <a:t>of the ASC Farm Standard.</a:t>
          </a:r>
          <a:endParaRPr lang="en-GB">
            <a:effectLst/>
            <a:latin typeface="Montserrat" pitchFamily="2" charset="0"/>
          </a:endParaRP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5. Level 1 and 2- Abiotic impact - Benthic status</a:t>
          </a:r>
          <a:endParaRPr lang="en-NL" sz="1100" u="sng">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Benthic status - Level 1 and 2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chemeClr val="dk1"/>
              </a:solidFill>
              <a:effectLst/>
              <a:latin typeface="Montserrat" pitchFamily="2" charset="0"/>
              <a:ea typeface="+mn-ea"/>
              <a:cs typeface="+mn-cs"/>
            </a:rPr>
            <a:t>The benthic status is determined using the zone EQS categories from table 4 using the methodology of Appendix 7.4.2 </a:t>
          </a:r>
          <a:r>
            <a:rPr lang="en-US" sz="1100" b="0">
              <a:solidFill>
                <a:schemeClr val="dk1"/>
              </a:solidFill>
              <a:effectLst/>
              <a:latin typeface="Montserrat" pitchFamily="2" charset="0"/>
              <a:ea typeface="+mn-ea"/>
              <a:cs typeface="+mn-cs"/>
            </a:rPr>
            <a:t>of the ASC Farm Standard.</a:t>
          </a:r>
          <a:endParaRPr lang="en-GB">
            <a:effectLst/>
            <a:latin typeface="Montserrat" pitchFamily="2" charset="0"/>
          </a:endParaRPr>
        </a:p>
        <a:p>
          <a:endParaRPr lang="en-NL" sz="1100">
            <a:latin typeface="Montserrat" pitchFamily="2" charset="0"/>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12</xdr:col>
      <xdr:colOff>7257</xdr:colOff>
      <xdr:row>1</xdr:row>
      <xdr:rowOff>200931</xdr:rowOff>
    </xdr:from>
    <xdr:to>
      <xdr:col>23</xdr:col>
      <xdr:colOff>615950</xdr:colOff>
      <xdr:row>61</xdr:row>
      <xdr:rowOff>0</xdr:rowOff>
    </xdr:to>
    <xdr:sp macro="" textlink="">
      <xdr:nvSpPr>
        <xdr:cNvPr id="4" name="TextBox 2">
          <a:extLst>
            <a:ext uri="{FF2B5EF4-FFF2-40B4-BE49-F238E27FC236}">
              <a16:creationId xmlns:a16="http://schemas.microsoft.com/office/drawing/2014/main" id="{5F454CC4-1AD2-4B6A-A474-6F65F522DB7E}"/>
            </a:ext>
          </a:extLst>
        </xdr:cNvPr>
        <xdr:cNvSpPr txBox="1"/>
      </xdr:nvSpPr>
      <xdr:spPr>
        <a:xfrm>
          <a:off x="12770757" y="415244"/>
          <a:ext cx="7550037" cy="12776881"/>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ontserrat" pitchFamily="2" charset="0"/>
              <a:ea typeface="+mn-ea"/>
              <a:cs typeface="+mn-cs"/>
            </a:rPr>
            <a:t>USER GUIDANCE</a:t>
          </a:r>
        </a:p>
        <a:p>
          <a:r>
            <a:rPr lang="en-US" sz="1100" b="0">
              <a:solidFill>
                <a:schemeClr val="dk1"/>
              </a:solidFill>
              <a:effectLst/>
              <a:latin typeface="Montserrat" pitchFamily="2" charset="0"/>
              <a:ea typeface="+mn-ea"/>
              <a:cs typeface="+mn-cs"/>
            </a:rPr>
            <a:t>This template is used to report sampling results for monitoring level 3 and should only be filled If the monitoring level 1 and 2 results in an </a:t>
          </a:r>
          <a:r>
            <a:rPr lang="en-US" sz="1100" b="0" i="1">
              <a:solidFill>
                <a:schemeClr val="dk1"/>
              </a:solidFill>
              <a:effectLst/>
              <a:latin typeface="Montserrat" pitchFamily="2" charset="0"/>
              <a:ea typeface="+mn-ea"/>
              <a:cs typeface="+mn-cs"/>
            </a:rPr>
            <a:t>'unacceptable' </a:t>
          </a:r>
          <a:r>
            <a:rPr lang="en-US" sz="1100" b="0">
              <a:solidFill>
                <a:schemeClr val="dk1"/>
              </a:solidFill>
              <a:effectLst/>
              <a:latin typeface="Montserrat" pitchFamily="2" charset="0"/>
              <a:ea typeface="+mn-ea"/>
              <a:cs typeface="+mn-cs"/>
            </a:rPr>
            <a:t>benthic status. The ecological quality status (EQS) score and category per sampling zone for each biotic indicator (table 2), the zone EQS score and category (table 3) and finally the site-specific benthic status (table 4) are all automatically calculated based on the reported sample values in table 1. This template follows the methodology provided in appendix 7.4 of the ASC Farm Standard.</a:t>
          </a: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1. Level 3 - Biotic impact - Data entry</a:t>
          </a:r>
          <a:endParaRPr lang="en-GB">
            <a:effectLst/>
            <a:latin typeface="Montserrat" pitchFamily="2" charset="0"/>
          </a:endParaRPr>
        </a:p>
        <a:p>
          <a:r>
            <a:rPr lang="en-US" sz="1100" b="1">
              <a:solidFill>
                <a:schemeClr val="dk1"/>
              </a:solidFill>
              <a:effectLst/>
              <a:latin typeface="Montserrat" pitchFamily="2" charset="0"/>
              <a:ea typeface="+mn-ea"/>
              <a:cs typeface="+mn-cs"/>
            </a:rPr>
            <a:t>Sampling date (dd-mm-yyyy)</a:t>
          </a:r>
          <a:r>
            <a:rPr lang="en-US"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date that the sampling occurred. </a:t>
          </a:r>
        </a:p>
        <a:p>
          <a:endParaRPr lang="en-GB">
            <a:effectLst/>
            <a:latin typeface="Montserrat" pitchFamily="2" charset="0"/>
          </a:endParaRPr>
        </a:p>
        <a:p>
          <a:r>
            <a:rPr lang="en-GB" sz="1100" b="1">
              <a:solidFill>
                <a:schemeClr val="dk1"/>
              </a:solidFill>
              <a:effectLst/>
              <a:latin typeface="Montserrat" pitchFamily="2" charset="0"/>
              <a:ea typeface="+mn-ea"/>
              <a:cs typeface="+mn-cs"/>
            </a:rPr>
            <a:t>Biotic indicator (select) </a:t>
          </a:r>
          <a:r>
            <a:rPr lang="en-GB" sz="1100" b="0">
              <a:solidFill>
                <a:schemeClr val="dk1"/>
              </a:solidFill>
              <a:effectLst/>
              <a:latin typeface="Montserrat" pitchFamily="2" charset="0"/>
              <a:ea typeface="+mn-ea"/>
              <a:cs typeface="+mn-cs"/>
            </a:rPr>
            <a:t>(Mandatory field)</a:t>
          </a:r>
        </a:p>
        <a:p>
          <a:r>
            <a:rPr lang="en-GB" sz="1100" b="0">
              <a:solidFill>
                <a:schemeClr val="dk1"/>
              </a:solidFill>
              <a:effectLst/>
              <a:latin typeface="Montserrat" pitchFamily="2" charset="0"/>
              <a:ea typeface="+mn-ea"/>
              <a:cs typeface="+mn-cs"/>
            </a:rPr>
            <a:t>Select the three chosen biotic indicators using the dropdown menu.</a:t>
          </a:r>
        </a:p>
        <a:p>
          <a:endParaRPr lang="en-GB">
            <a:effectLst/>
            <a:latin typeface="Montserrat" pitchFamily="2" charset="0"/>
          </a:endParaRPr>
        </a:p>
        <a:p>
          <a:r>
            <a:rPr lang="en-US" sz="1100" b="1">
              <a:solidFill>
                <a:schemeClr val="dk1"/>
              </a:solidFill>
              <a:effectLst/>
              <a:latin typeface="Montserrat" pitchFamily="2" charset="0"/>
              <a:ea typeface="+mn-ea"/>
              <a:cs typeface="+mn-cs"/>
            </a:rPr>
            <a:t>Direction compared to water flow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direction of the sampling point with respect to the direction of the residual current. </a:t>
          </a:r>
          <a:r>
            <a:rPr lang="en-US" sz="1100">
              <a:solidFill>
                <a:schemeClr val="dk1"/>
              </a:solidFill>
              <a:effectLst/>
              <a:latin typeface="Montserrat" pitchFamily="2" charset="0"/>
              <a:ea typeface="+mn-ea"/>
              <a:cs typeface="+mn-cs"/>
            </a:rPr>
            <a:t>Free text is possible if the direction compared to water flow deviates from the prescribed methodology.</a:t>
          </a:r>
        </a:p>
        <a:p>
          <a:endParaRPr lang="en-GB">
            <a:effectLst/>
            <a:latin typeface="Montserrat" pitchFamily="2" charset="0"/>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Indicates the EQS sampling zone where the sample is taken.</a:t>
          </a:r>
        </a:p>
        <a:p>
          <a:endParaRPr lang="en-GB">
            <a:effectLst/>
            <a:latin typeface="Montserrat" pitchFamily="2" charset="0"/>
          </a:endParaRPr>
        </a:p>
        <a:p>
          <a:r>
            <a:rPr lang="en-GB" sz="1100" b="1">
              <a:solidFill>
                <a:schemeClr val="dk1"/>
              </a:solidFill>
              <a:effectLst/>
              <a:latin typeface="Montserrat" pitchFamily="2" charset="0"/>
              <a:ea typeface="+mn-ea"/>
              <a:cs typeface="+mn-cs"/>
            </a:rPr>
            <a:t>Distance from site boundary (m) </a:t>
          </a:r>
          <a:r>
            <a:rPr lang="en-GB" sz="1100" b="0">
              <a:solidFill>
                <a:schemeClr val="dk1"/>
              </a:solidFill>
              <a:effectLst/>
              <a:latin typeface="Montserrat" pitchFamily="2" charset="0"/>
              <a:ea typeface="+mn-ea"/>
              <a:cs typeface="+mn-cs"/>
            </a:rPr>
            <a:t>(Mandatory field)</a:t>
          </a:r>
        </a:p>
        <a:p>
          <a:r>
            <a:rPr lang="en-GB" sz="1100" b="0">
              <a:solidFill>
                <a:schemeClr val="dk1"/>
              </a:solidFill>
              <a:effectLst/>
              <a:latin typeface="Montserrat" pitchFamily="2" charset="0"/>
              <a:ea typeface="+mn-ea"/>
              <a:cs typeface="+mn-cs"/>
            </a:rPr>
            <a:t>Indicates the distance in meters (m) from the site boundary where the sampling occurred. Free text is possible if distance from the site boundary deviates from the prescribed methodology.</a:t>
          </a: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1 </a:t>
          </a:r>
          <a:r>
            <a:rPr lang="en-US" sz="1100">
              <a:solidFill>
                <a:schemeClr val="dk1"/>
              </a:solidFill>
              <a:effectLst/>
              <a:latin typeface="Montserrat" pitchFamily="2" charset="0"/>
              <a:ea typeface="+mn-ea"/>
              <a:cs typeface="+mn-cs"/>
            </a:rPr>
            <a:t>(Mandatory field) </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value of the single measurement of each chosen biotic indicator for sample 1. </a:t>
          </a:r>
        </a:p>
        <a:p>
          <a:endParaRPr lang="en-US"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2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value of the single measurement of each chosen biotic indicator for sample 2. </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Notes </a:t>
          </a:r>
          <a:r>
            <a:rPr lang="en-US" sz="1100">
              <a:solidFill>
                <a:schemeClr val="dk1"/>
              </a:solidFill>
              <a:effectLst/>
              <a:latin typeface="Montserrat" pitchFamily="2" charset="0"/>
              <a:ea typeface="+mn-ea"/>
              <a:cs typeface="+mn-cs"/>
            </a:rPr>
            <a:t>(Voluntary field)</a:t>
          </a:r>
          <a:endParaRPr lang="en-GB">
            <a:effectLst/>
            <a:latin typeface="Montserrat" pitchFamily="2" charset="0"/>
          </a:endParaRPr>
        </a:p>
        <a:p>
          <a:r>
            <a:rPr lang="en-US" sz="1100">
              <a:solidFill>
                <a:schemeClr val="dk1"/>
              </a:solidFill>
              <a:effectLst/>
              <a:latin typeface="Montserrat" pitchFamily="2" charset="0"/>
              <a:ea typeface="+mn-ea"/>
              <a:cs typeface="+mn-cs"/>
            </a:rPr>
            <a:t>This field may be used to provide any other relevant information or clarifications.</a:t>
          </a: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2. Level 3 - Biotic impact - Average values and EQS category and score organized per EQS sampling zone and indicator</a:t>
          </a:r>
          <a:endParaRPr lang="en-GB">
            <a:effectLst/>
            <a:latin typeface="Montserrat" pitchFamily="2" charset="0"/>
          </a:endParaRPr>
        </a:p>
        <a:p>
          <a:r>
            <a:rPr lang="en-GB" sz="1100" b="1">
              <a:solidFill>
                <a:schemeClr val="dk1"/>
              </a:solidFill>
              <a:effectLst/>
              <a:latin typeface="Montserrat" pitchFamily="2" charset="0"/>
              <a:ea typeface="+mn-ea"/>
              <a:cs typeface="+mn-cs"/>
            </a:rPr>
            <a:t>Biotic indicator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GB" sz="1100">
              <a:solidFill>
                <a:schemeClr val="dk1"/>
              </a:solidFill>
              <a:effectLst/>
              <a:latin typeface="Montserrat" pitchFamily="2" charset="0"/>
              <a:ea typeface="+mn-ea"/>
              <a:cs typeface="+mn-cs"/>
            </a:rPr>
            <a:t>The biotic indicators are autopulated from table 1.</a:t>
          </a:r>
          <a:endParaRPr lang="en-GB">
            <a:effectLst/>
            <a:latin typeface="Montserrat" pitchFamily="2" charset="0"/>
          </a:endParaRP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GB" sz="1100">
              <a:solidFill>
                <a:schemeClr val="dk1"/>
              </a:solidFill>
              <a:effectLst/>
              <a:latin typeface="Montserrat" pitchFamily="2" charset="0"/>
              <a:ea typeface="+mn-ea"/>
              <a:cs typeface="+mn-cs"/>
            </a:rPr>
            <a:t>The EQS sampling zone is autopopulated from table 1.</a:t>
          </a:r>
          <a:endParaRPr lang="en-GB">
            <a:effectLst/>
            <a:latin typeface="Montserrat" pitchFamily="2" charset="0"/>
          </a:endParaRP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indicator value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average indicator value per EQS sampling zone is automatically calculated from table 1.</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category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EQS category is determined based on the threshold from table 2 of Appendix 7.1 of the ASC Farm Standard.</a:t>
          </a: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Indicator EQS score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indicator EQS score is determined based on methodology of Appendix 7.4.2 of the ASC Farm Standard.</a:t>
          </a: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3. Level 3 - Biotic impact - EQS classification per sampling zone</a:t>
          </a:r>
          <a:endParaRPr lang="en-US"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sampling zone (Autopopulated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EQS sampling zonse are autopopulated from table 1.</a:t>
          </a: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score</a:t>
          </a:r>
          <a:r>
            <a:rPr lang="en-US" sz="1100">
              <a:solidFill>
                <a:schemeClr val="dk1"/>
              </a:solidFill>
              <a:effectLst/>
              <a:latin typeface="Montserrat" pitchFamily="2" charset="0"/>
              <a:ea typeface="+mn-ea"/>
              <a:cs typeface="+mn-cs"/>
            </a:rPr>
            <a:t> (Calculated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zone EQS score is determined based on methodology of Appendix 7.4.2 of the ASC Farm Standard.</a:t>
          </a: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category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zone EQS category is determined based on methodology of Appendix 7.4.2 of the ASC Farm Standard.</a:t>
          </a:r>
        </a:p>
        <a:p>
          <a:endParaRPr lang="en-US" sz="1100">
            <a:solidFill>
              <a:schemeClr val="dk1"/>
            </a:solidFill>
            <a:effectLst/>
            <a:latin typeface="Montserrat" pitchFamily="2" charset="0"/>
            <a:ea typeface="+mn-ea"/>
            <a:cs typeface="+mn-cs"/>
          </a:endParaRP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4. Level 3 - Biotic impact - Benthic status</a:t>
          </a:r>
        </a:p>
        <a:p>
          <a:r>
            <a:rPr lang="en-US" sz="1100" b="1">
              <a:solidFill>
                <a:schemeClr val="dk1"/>
              </a:solidFill>
              <a:effectLst/>
              <a:latin typeface="Montserrat" pitchFamily="2" charset="0"/>
              <a:ea typeface="+mn-ea"/>
              <a:cs typeface="+mn-cs"/>
            </a:rPr>
            <a:t>Benthic status - Level 3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benthic status is determined using the zone EQS categories from table 3 using the methodology of Appendix 7.4.2 of the ASC Farm Standard.</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12</xdr:col>
      <xdr:colOff>0</xdr:colOff>
      <xdr:row>2</xdr:row>
      <xdr:rowOff>0</xdr:rowOff>
    </xdr:from>
    <xdr:to>
      <xdr:col>24</xdr:col>
      <xdr:colOff>95250</xdr:colOff>
      <xdr:row>62</xdr:row>
      <xdr:rowOff>0</xdr:rowOff>
    </xdr:to>
    <xdr:sp macro="" textlink="">
      <xdr:nvSpPr>
        <xdr:cNvPr id="7" name="TextBox 8">
          <a:extLst>
            <a:ext uri="{FF2B5EF4-FFF2-40B4-BE49-F238E27FC236}">
              <a16:creationId xmlns:a16="http://schemas.microsoft.com/office/drawing/2014/main" id="{A26858E3-89AB-4228-BDC2-DA40934F23C9}"/>
            </a:ext>
          </a:extLst>
        </xdr:cNvPr>
        <xdr:cNvSpPr txBox="1"/>
      </xdr:nvSpPr>
      <xdr:spPr>
        <a:xfrm>
          <a:off x="12894469" y="428625"/>
          <a:ext cx="7667625" cy="13001625"/>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ontserrat" pitchFamily="2" charset="0"/>
              <a:ea typeface="+mn-ea"/>
              <a:cs typeface="+mn-cs"/>
            </a:rPr>
            <a:t>USER GUIDANCE</a:t>
          </a:r>
        </a:p>
        <a:p>
          <a:r>
            <a:rPr lang="en-US" sz="1100" b="0">
              <a:solidFill>
                <a:schemeClr val="dk1"/>
              </a:solidFill>
              <a:effectLst/>
              <a:latin typeface="Montserrat" pitchFamily="2" charset="0"/>
              <a:ea typeface="+mn-ea"/>
              <a:cs typeface="+mn-cs"/>
            </a:rPr>
            <a:t>This template is used to report sampling results for monitoring level 1 and level 2. The ecological quality score (EQS) category and score per sampling zone for each abiotic indicator (table 3), the zone EQS score and category (table 4) and finally the site-specific benthic status (table 5) are all automatically calculated based on the reported sample values in table 1 (monitoring level 1) and table 2 (monitoring level 2). This template follows the methodology provided in appendix 7.3 of the ASC Farm Standard.</a:t>
          </a:r>
        </a:p>
        <a:p>
          <a:endParaRPr lang="en-US" sz="1100" b="0">
            <a:solidFill>
              <a:schemeClr val="dk1"/>
            </a:solidFill>
            <a:effectLst/>
            <a:latin typeface="Montserrat" pitchFamily="2" charset="0"/>
            <a:ea typeface="+mn-ea"/>
            <a:cs typeface="+mn-cs"/>
          </a:endParaRPr>
        </a:p>
        <a:p>
          <a:r>
            <a:rPr lang="en-US" sz="1100" b="0">
              <a:solidFill>
                <a:schemeClr val="dk1"/>
              </a:solidFill>
              <a:effectLst/>
              <a:latin typeface="Montserrat" pitchFamily="2" charset="0"/>
              <a:ea typeface="+mn-ea"/>
              <a:cs typeface="+mn-cs"/>
            </a:rPr>
            <a:t>If monitoring level 1 results in an </a:t>
          </a:r>
          <a:r>
            <a:rPr lang="en-US" sz="1100" b="0" i="1">
              <a:solidFill>
                <a:schemeClr val="dk1"/>
              </a:solidFill>
              <a:effectLst/>
              <a:latin typeface="Montserrat" pitchFamily="2" charset="0"/>
              <a:ea typeface="+mn-ea"/>
              <a:cs typeface="+mn-cs"/>
            </a:rPr>
            <a:t>'acceptable' </a:t>
          </a:r>
          <a:r>
            <a:rPr lang="en-US" sz="1100" b="0">
              <a:solidFill>
                <a:schemeClr val="dk1"/>
              </a:solidFill>
              <a:effectLst/>
              <a:latin typeface="Montserrat" pitchFamily="2" charset="0"/>
              <a:ea typeface="+mn-ea"/>
              <a:cs typeface="+mn-cs"/>
            </a:rPr>
            <a:t>benthic status, no reporting for level 2 in table 2 is required.</a:t>
          </a: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1. Level 1 - Abiotic impact - Data entry</a:t>
          </a:r>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Sampling date (dd-mm-yyyy)</a:t>
          </a:r>
          <a:r>
            <a:rPr lang="en-US"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date when</a:t>
          </a:r>
          <a:r>
            <a:rPr lang="en-US" sz="1100" baseline="0">
              <a:solidFill>
                <a:schemeClr val="dk1"/>
              </a:solidFill>
              <a:effectLst/>
              <a:latin typeface="Montserrat" pitchFamily="2" charset="0"/>
              <a:ea typeface="+mn-ea"/>
              <a:cs typeface="+mn-cs"/>
            </a:rPr>
            <a:t> </a:t>
          </a:r>
          <a:r>
            <a:rPr lang="en-US" sz="1100">
              <a:solidFill>
                <a:schemeClr val="dk1"/>
              </a:solidFill>
              <a:effectLst/>
              <a:latin typeface="Montserrat" pitchFamily="2" charset="0"/>
              <a:ea typeface="+mn-ea"/>
              <a:cs typeface="+mn-cs"/>
            </a:rPr>
            <a:t>the sampling occurred. </a:t>
          </a:r>
        </a:p>
        <a:p>
          <a:endParaRPr lang="en-GB">
            <a:effectLst/>
            <a:latin typeface="Montserrat" pitchFamily="2" charset="0"/>
          </a:endParaRPr>
        </a:p>
        <a:p>
          <a:r>
            <a:rPr lang="en-GB" sz="1100" b="1">
              <a:solidFill>
                <a:schemeClr val="dk1"/>
              </a:solidFill>
              <a:effectLst/>
              <a:latin typeface="Montserrat" pitchFamily="2" charset="0"/>
              <a:ea typeface="+mn-ea"/>
              <a:cs typeface="+mn-cs"/>
            </a:rPr>
            <a:t>Abiotic indicator </a:t>
          </a:r>
          <a:r>
            <a:rPr lang="en-US" sz="1100">
              <a:solidFill>
                <a:schemeClr val="dk1"/>
              </a:solidFill>
              <a:effectLst/>
              <a:latin typeface="Montserrat" pitchFamily="2" charset="0"/>
              <a:ea typeface="+mn-ea"/>
              <a:cs typeface="+mn-cs"/>
            </a:rPr>
            <a:t>(Autopopulated)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abiotic indicator to be measured. The pH and temperature (ºC) is to be</a:t>
          </a:r>
          <a:r>
            <a:rPr lang="en-GB" sz="1100" baseline="0">
              <a:solidFill>
                <a:schemeClr val="dk1"/>
              </a:solidFill>
              <a:effectLst/>
              <a:latin typeface="Montserrat" pitchFamily="2" charset="0"/>
              <a:ea typeface="+mn-ea"/>
              <a:cs typeface="+mn-cs"/>
            </a:rPr>
            <a:t> measured in orer to calcualte the total amonia nitrogen (TAN) treshold.</a:t>
          </a:r>
          <a:endParaRPr lang="en-GB" sz="1100">
            <a:solidFill>
              <a:schemeClr val="dk1"/>
            </a:solidFill>
            <a:effectLst/>
            <a:latin typeface="Montserrat" pitchFamily="2" charset="0"/>
            <a:ea typeface="+mn-ea"/>
            <a:cs typeface="+mn-cs"/>
          </a:endParaRPr>
        </a:p>
        <a:p>
          <a:endParaRPr lang="en-GB">
            <a:effectLst/>
            <a:latin typeface="Montserrat" pitchFamily="2" charset="0"/>
          </a:endParaRPr>
        </a:p>
        <a:p>
          <a:r>
            <a:rPr lang="en-US" sz="1100" b="1">
              <a:solidFill>
                <a:schemeClr val="dk1"/>
              </a:solidFill>
              <a:effectLst/>
              <a:latin typeface="Montserrat" pitchFamily="2" charset="0"/>
              <a:ea typeface="+mn-ea"/>
              <a:cs typeface="+mn-cs"/>
            </a:rPr>
            <a:t>Direction compared to water flow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direction of the sampling point with respect to the direction of the residual current. </a:t>
          </a:r>
          <a:r>
            <a:rPr lang="en-US" sz="1100">
              <a:solidFill>
                <a:schemeClr val="dk1"/>
              </a:solidFill>
              <a:effectLst/>
              <a:latin typeface="Montserrat" pitchFamily="2" charset="0"/>
              <a:ea typeface="+mn-ea"/>
              <a:cs typeface="+mn-cs"/>
            </a:rPr>
            <a:t>Free text is possible if the direction compared to water flow deviates from the prescribed methodology.</a:t>
          </a:r>
        </a:p>
        <a:p>
          <a:endParaRPr lang="en-GB">
            <a:effectLst/>
            <a:latin typeface="Montserrat" pitchFamily="2" charset="0"/>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Indicates the EQS sampling zone where the sample is taken.</a:t>
          </a:r>
        </a:p>
        <a:p>
          <a:endParaRPr lang="en-GB">
            <a:effectLst/>
            <a:latin typeface="Montserrat" pitchFamily="2" charset="0"/>
          </a:endParaRPr>
        </a:p>
        <a:p>
          <a:r>
            <a:rPr lang="en-GB" sz="1100" b="1">
              <a:solidFill>
                <a:schemeClr val="dk1"/>
              </a:solidFill>
              <a:effectLst/>
              <a:latin typeface="Montserrat" pitchFamily="2" charset="0"/>
              <a:ea typeface="+mn-ea"/>
              <a:cs typeface="+mn-cs"/>
            </a:rPr>
            <a:t>Distance from edge of cages (m)</a:t>
          </a:r>
          <a:r>
            <a:rPr lang="en-GB"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distance in</a:t>
          </a:r>
          <a:r>
            <a:rPr lang="en-GB" sz="1100" baseline="0">
              <a:solidFill>
                <a:schemeClr val="dk1"/>
              </a:solidFill>
              <a:effectLst/>
              <a:latin typeface="Montserrat" pitchFamily="2" charset="0"/>
              <a:ea typeface="+mn-ea"/>
              <a:cs typeface="+mn-cs"/>
            </a:rPr>
            <a:t> </a:t>
          </a:r>
          <a:r>
            <a:rPr lang="en-GB" sz="1100">
              <a:solidFill>
                <a:schemeClr val="dk1"/>
              </a:solidFill>
              <a:effectLst/>
              <a:latin typeface="Montserrat" pitchFamily="2" charset="0"/>
              <a:ea typeface="+mn-ea"/>
              <a:cs typeface="+mn-cs"/>
            </a:rPr>
            <a:t>meters (m) from the cage where the sampling occurred. </a:t>
          </a:r>
          <a:r>
            <a:rPr lang="en-US" sz="1100">
              <a:solidFill>
                <a:schemeClr val="dk1"/>
              </a:solidFill>
              <a:effectLst/>
              <a:latin typeface="Montserrat" pitchFamily="2" charset="0"/>
              <a:ea typeface="+mn-ea"/>
              <a:cs typeface="+mn-cs"/>
            </a:rPr>
            <a:t>Free text is possible if distance from the cage deviates from the prescribed methodology.</a:t>
          </a:r>
          <a:endParaRPr lang="en-GB">
            <a:effectLst/>
            <a:latin typeface="Montserrat" pitchFamily="2" charset="0"/>
          </a:endParaRP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1 </a:t>
          </a:r>
          <a:r>
            <a:rPr lang="en-US" sz="1100">
              <a:solidFill>
                <a:schemeClr val="dk1"/>
              </a:solidFill>
              <a:effectLst/>
              <a:latin typeface="Montserrat" pitchFamily="2" charset="0"/>
              <a:ea typeface="+mn-ea"/>
              <a:cs typeface="+mn-cs"/>
            </a:rPr>
            <a:t>(Mandatory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Provide the value of the single measurement of each chosen abiotic indicator for sample 1. </a:t>
          </a:r>
          <a:endParaRPr lang="en-GB">
            <a:effectLst/>
            <a:latin typeface="Montserrat" pitchFamily="2" charset="0"/>
          </a:endParaRP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2 </a:t>
          </a:r>
          <a:r>
            <a:rPr lang="en-US" sz="1100">
              <a:solidFill>
                <a:schemeClr val="dk1"/>
              </a:solidFill>
              <a:effectLst/>
              <a:latin typeface="Montserrat" pitchFamily="2" charset="0"/>
              <a:ea typeface="+mn-ea"/>
              <a:cs typeface="+mn-cs"/>
            </a:rPr>
            <a:t>(Mandatory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Provide the value of the single measurement of each chosen abiotic indicator for sample 2. </a:t>
          </a:r>
          <a:endParaRPr lang="en-GB">
            <a:effectLst/>
            <a:latin typeface="Montserrat" pitchFamily="2" charset="0"/>
          </a:endParaRP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Notes </a:t>
          </a:r>
          <a:r>
            <a:rPr lang="en-US" sz="1100">
              <a:solidFill>
                <a:schemeClr val="dk1"/>
              </a:solidFill>
              <a:effectLst/>
              <a:latin typeface="Montserrat" pitchFamily="2" charset="0"/>
              <a:ea typeface="+mn-ea"/>
              <a:cs typeface="+mn-cs"/>
            </a:rPr>
            <a:t>(Voluntary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This field may be used to provide any other relevant information or clarifications.</a:t>
          </a: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2. Level 2 - Abiotic impact - Data entry</a:t>
          </a:r>
          <a:endParaRPr lang="en-NL" sz="1100" u="sng">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Only to be filled out if the level 1 monitoring results in an </a:t>
          </a:r>
          <a:r>
            <a:rPr lang="en-US" sz="1100" i="1">
              <a:solidFill>
                <a:schemeClr val="dk1"/>
              </a:solidFill>
              <a:effectLst/>
              <a:latin typeface="Montserrat" pitchFamily="2" charset="0"/>
              <a:ea typeface="+mn-ea"/>
              <a:cs typeface="+mn-cs"/>
            </a:rPr>
            <a:t>'unacceptable</a:t>
          </a:r>
          <a:r>
            <a:rPr lang="en-US" sz="1100">
              <a:solidFill>
                <a:schemeClr val="dk1"/>
              </a:solidFill>
              <a:effectLst/>
              <a:latin typeface="Montserrat" pitchFamily="2" charset="0"/>
              <a:ea typeface="+mn-ea"/>
              <a:cs typeface="+mn-cs"/>
            </a:rPr>
            <a:t>' benthic status in table 5. </a:t>
          </a:r>
        </a:p>
        <a:p>
          <a:endParaRPr lang="en-NL" sz="1100" u="sng">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3. Level 1 and 2 - Abiotic impact - Average values and EQS category and score organized per EQS sampling zone and indicator</a:t>
          </a:r>
          <a:endParaRPr lang="en-NL" sz="1100" u="sng">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Abiotic indicator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The abiotic indicator is autopulated from table 1.</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The EQS sampling zone is autopopulated from table</a:t>
          </a:r>
          <a:r>
            <a:rPr lang="en-GB" sz="1100" baseline="0">
              <a:solidFill>
                <a:schemeClr val="dk1"/>
              </a:solidFill>
              <a:effectLst/>
              <a:latin typeface="Montserrat" pitchFamily="2" charset="0"/>
              <a:ea typeface="+mn-ea"/>
              <a:cs typeface="+mn-cs"/>
            </a:rPr>
            <a:t> 1</a:t>
          </a:r>
          <a:r>
            <a:rPr lang="en-GB" sz="1100">
              <a:solidFill>
                <a:schemeClr val="dk1"/>
              </a:solidFill>
              <a:effectLst/>
              <a:latin typeface="Montserrat" pitchFamily="2" charset="0"/>
              <a:ea typeface="+mn-ea"/>
              <a:cs typeface="+mn-cs"/>
            </a:rPr>
            <a:t>.</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indicator value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average indicator value per EQS sampling zone is automatically calculated from tables 1 and 2.</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category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EQS category is determined based on the threshold from table 1 of Appendix 7.1 of the ASC Farm Standard.</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Indicator EQS score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indicator EQS score is determined based on methodology of Appendix 7.3.2 of the ASC Farm Standard.</a:t>
          </a: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4. Level 1 and 2 - Abiotic impact - EQS score and EQS category by sampling zone </a:t>
          </a:r>
          <a:endParaRPr lang="en-NL" sz="1100" u="sng">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sampling zone (Autopopulated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EQS sampling zones are autopopulated from table 1.</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score</a:t>
          </a:r>
          <a:r>
            <a:rPr lang="en-US" sz="1100">
              <a:solidFill>
                <a:schemeClr val="dk1"/>
              </a:solidFill>
              <a:effectLst/>
              <a:latin typeface="Montserrat" pitchFamily="2" charset="0"/>
              <a:ea typeface="+mn-ea"/>
              <a:cs typeface="+mn-cs"/>
            </a:rPr>
            <a:t> (Calculated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zone EQS score is determined based on methodology of Appendix 7.3.2 of the ASC Farm Standard.</a:t>
          </a:r>
          <a:endParaRPr lang="en-NL" sz="1100">
            <a:solidFill>
              <a:schemeClr val="dk1"/>
            </a:solidFill>
            <a:effectLst/>
            <a:latin typeface="Montserrat" pitchFamily="2" charset="0"/>
            <a:ea typeface="+mn-ea"/>
            <a:cs typeface="+mn-cs"/>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category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zone EQS category is determined based on methodology of Appendix 7.3.2 of the ASC Farm Standard.</a:t>
          </a:r>
          <a:endParaRPr lang="en-NL" sz="1100">
            <a:solidFill>
              <a:schemeClr val="dk1"/>
            </a:solidFill>
            <a:effectLst/>
            <a:latin typeface="Montserrat" pitchFamily="2" charset="0"/>
            <a:ea typeface="+mn-ea"/>
            <a:cs typeface="+mn-cs"/>
          </a:endParaRPr>
        </a:p>
        <a:p>
          <a:endParaRPr lang="en-US" sz="1100" b="1">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5. Level 1 and 2 - Abiotic impact - Benthic status</a:t>
          </a:r>
          <a:endParaRPr lang="en-NL" sz="1100" u="sng">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Benthic status - Level 1 and 2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benthic status is determined using the zone EQS categories from table 4 using the methodology of Appendix 7.3.2 of the ASC Farm Standard.</a:t>
          </a:r>
          <a:endParaRPr lang="en-NL" sz="1100">
            <a:latin typeface="Montserrat" pitchFamily="2" charset="0"/>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12</xdr:col>
      <xdr:colOff>6496</xdr:colOff>
      <xdr:row>3</xdr:row>
      <xdr:rowOff>19236</xdr:rowOff>
    </xdr:from>
    <xdr:to>
      <xdr:col>24</xdr:col>
      <xdr:colOff>27215</xdr:colOff>
      <xdr:row>61</xdr:row>
      <xdr:rowOff>11906</xdr:rowOff>
    </xdr:to>
    <xdr:sp macro="" textlink="">
      <xdr:nvSpPr>
        <xdr:cNvPr id="7" name="TextBox 2">
          <a:extLst>
            <a:ext uri="{FF2B5EF4-FFF2-40B4-BE49-F238E27FC236}">
              <a16:creationId xmlns:a16="http://schemas.microsoft.com/office/drawing/2014/main" id="{34A8793E-D6F4-4E37-877D-52AD20F44C52}"/>
            </a:ext>
          </a:extLst>
        </xdr:cNvPr>
        <xdr:cNvSpPr txBox="1"/>
      </xdr:nvSpPr>
      <xdr:spPr>
        <a:xfrm>
          <a:off x="12650934" y="447861"/>
          <a:ext cx="7593094" cy="12458514"/>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ontserrat" pitchFamily="2" charset="0"/>
              <a:ea typeface="+mn-ea"/>
              <a:cs typeface="+mn-cs"/>
            </a:rPr>
            <a:t>USER GUIDANCE</a:t>
          </a:r>
        </a:p>
        <a:p>
          <a:r>
            <a:rPr lang="en-US" sz="1100" b="0">
              <a:solidFill>
                <a:schemeClr val="dk1"/>
              </a:solidFill>
              <a:effectLst/>
              <a:latin typeface="Montserrat" pitchFamily="2" charset="0"/>
              <a:ea typeface="+mn-ea"/>
              <a:cs typeface="+mn-cs"/>
            </a:rPr>
            <a:t>This template is used to report sampling results for monitoring level 3 and should only be filled If the monitoring level 1 and 2 results in an </a:t>
          </a:r>
          <a:r>
            <a:rPr lang="en-US" sz="1100" b="0" i="1">
              <a:solidFill>
                <a:schemeClr val="dk1"/>
              </a:solidFill>
              <a:effectLst/>
              <a:latin typeface="Montserrat" pitchFamily="2" charset="0"/>
              <a:ea typeface="+mn-ea"/>
              <a:cs typeface="+mn-cs"/>
            </a:rPr>
            <a:t>'unacceptable' </a:t>
          </a:r>
          <a:r>
            <a:rPr lang="en-US" sz="1100" b="0">
              <a:solidFill>
                <a:schemeClr val="dk1"/>
              </a:solidFill>
              <a:effectLst/>
              <a:latin typeface="Montserrat" pitchFamily="2" charset="0"/>
              <a:ea typeface="+mn-ea"/>
              <a:cs typeface="+mn-cs"/>
            </a:rPr>
            <a:t>benthic status. The ecological quality status (EQS) score and category per sampling zone for each biotic indicator (table 2), the zone EQS score and category (table 3) and finally the site-specific benthic status (table 4) are all automatically calculated based on the reported sample values in table 1. This template follows the methodology provided in appendix 7.2 of the ASC Farm Standard.</a:t>
          </a: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1. Level 3 - Biotic impact - Data entry</a:t>
          </a:r>
          <a:endParaRPr lang="en-GB">
            <a:effectLst/>
            <a:latin typeface="Montserrat" pitchFamily="2" charset="0"/>
          </a:endParaRPr>
        </a:p>
        <a:p>
          <a:r>
            <a:rPr lang="en-US" sz="1100" b="1">
              <a:solidFill>
                <a:schemeClr val="dk1"/>
              </a:solidFill>
              <a:effectLst/>
              <a:latin typeface="Montserrat" pitchFamily="2" charset="0"/>
              <a:ea typeface="+mn-ea"/>
              <a:cs typeface="+mn-cs"/>
            </a:rPr>
            <a:t>Sampling date (dd-mm-yyyy)</a:t>
          </a:r>
          <a:r>
            <a:rPr lang="en-US"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date when the sampling occurred. </a:t>
          </a:r>
        </a:p>
        <a:p>
          <a:endParaRPr lang="en-GB">
            <a:effectLst/>
            <a:latin typeface="Montserrat" pitchFamily="2" charset="0"/>
          </a:endParaRPr>
        </a:p>
        <a:p>
          <a:r>
            <a:rPr lang="en-GB" sz="1100" b="1">
              <a:solidFill>
                <a:schemeClr val="dk1"/>
              </a:solidFill>
              <a:effectLst/>
              <a:latin typeface="Montserrat" pitchFamily="2" charset="0"/>
              <a:ea typeface="+mn-ea"/>
              <a:cs typeface="+mn-cs"/>
            </a:rPr>
            <a:t>Biotic indicator (select)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Select the three chosen biotic indicators using the dropdown menu.</a:t>
          </a:r>
        </a:p>
        <a:p>
          <a:endParaRPr lang="en-GB">
            <a:effectLst/>
            <a:latin typeface="Montserrat" pitchFamily="2" charset="0"/>
          </a:endParaRPr>
        </a:p>
        <a:p>
          <a:r>
            <a:rPr lang="en-US" sz="1100" b="1">
              <a:solidFill>
                <a:schemeClr val="dk1"/>
              </a:solidFill>
              <a:effectLst/>
              <a:latin typeface="Montserrat" pitchFamily="2" charset="0"/>
              <a:ea typeface="+mn-ea"/>
              <a:cs typeface="+mn-cs"/>
            </a:rPr>
            <a:t>Direction compared to water flow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direction of the sampling point with respect to the direction of the residual current. </a:t>
          </a:r>
          <a:r>
            <a:rPr lang="en-US" sz="1100">
              <a:solidFill>
                <a:schemeClr val="dk1"/>
              </a:solidFill>
              <a:effectLst/>
              <a:latin typeface="Montserrat" pitchFamily="2" charset="0"/>
              <a:ea typeface="+mn-ea"/>
              <a:cs typeface="+mn-cs"/>
            </a:rPr>
            <a:t>Free text is possible if the direction compared to water flow deviates from the prescribed methodology.</a:t>
          </a:r>
        </a:p>
        <a:p>
          <a:endParaRPr lang="en-GB">
            <a:effectLst/>
            <a:latin typeface="Montserrat" pitchFamily="2" charset="0"/>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Indicates the EQS sampling zone where the sample is taken.</a:t>
          </a:r>
        </a:p>
        <a:p>
          <a:endParaRPr lang="en-GB">
            <a:effectLst/>
            <a:latin typeface="Montserrat" pitchFamily="2" charset="0"/>
          </a:endParaRPr>
        </a:p>
        <a:p>
          <a:r>
            <a:rPr lang="en-GB" sz="1100" b="1">
              <a:solidFill>
                <a:schemeClr val="dk1"/>
              </a:solidFill>
              <a:effectLst/>
              <a:latin typeface="Montserrat" pitchFamily="2" charset="0"/>
              <a:ea typeface="+mn-ea"/>
              <a:cs typeface="+mn-cs"/>
            </a:rPr>
            <a:t>Distance from edge of cages (m)</a:t>
          </a:r>
          <a:r>
            <a:rPr lang="en-GB"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distance in</a:t>
          </a:r>
          <a:r>
            <a:rPr lang="en-GB" sz="1100" baseline="0">
              <a:solidFill>
                <a:schemeClr val="dk1"/>
              </a:solidFill>
              <a:effectLst/>
              <a:latin typeface="Montserrat" pitchFamily="2" charset="0"/>
              <a:ea typeface="+mn-ea"/>
              <a:cs typeface="+mn-cs"/>
            </a:rPr>
            <a:t> </a:t>
          </a:r>
          <a:r>
            <a:rPr lang="en-GB" sz="1100">
              <a:solidFill>
                <a:schemeClr val="dk1"/>
              </a:solidFill>
              <a:effectLst/>
              <a:latin typeface="Montserrat" pitchFamily="2" charset="0"/>
              <a:ea typeface="+mn-ea"/>
              <a:cs typeface="+mn-cs"/>
            </a:rPr>
            <a:t>meters (m) from the cage where the sampling occurred. </a:t>
          </a:r>
          <a:r>
            <a:rPr lang="en-US" sz="1100">
              <a:solidFill>
                <a:schemeClr val="dk1"/>
              </a:solidFill>
              <a:effectLst/>
              <a:latin typeface="Montserrat" pitchFamily="2" charset="0"/>
              <a:ea typeface="+mn-ea"/>
              <a:cs typeface="+mn-cs"/>
            </a:rPr>
            <a:t>Free text is possible if distance from the cage deviates from the prescribed methodology.</a:t>
          </a:r>
          <a:endParaRPr lang="en-GB">
            <a:effectLst/>
            <a:latin typeface="Montserrat" pitchFamily="2" charset="0"/>
          </a:endParaRP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1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average value of the single measuremnt of eachchosen biotic indicator for sample 1. </a:t>
          </a:r>
        </a:p>
        <a:p>
          <a:endParaRPr lang="en-US"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2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average value of the single measuremnt of eachchosen biotic indicator for sample 2. </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Notes </a:t>
          </a:r>
          <a:r>
            <a:rPr lang="en-US" sz="1100">
              <a:solidFill>
                <a:schemeClr val="dk1"/>
              </a:solidFill>
              <a:effectLst/>
              <a:latin typeface="Montserrat" pitchFamily="2" charset="0"/>
              <a:ea typeface="+mn-ea"/>
              <a:cs typeface="+mn-cs"/>
            </a:rPr>
            <a:t>(Voluntary field)</a:t>
          </a:r>
          <a:endParaRPr lang="en-GB">
            <a:effectLst/>
            <a:latin typeface="Montserrat" pitchFamily="2" charset="0"/>
          </a:endParaRPr>
        </a:p>
        <a:p>
          <a:r>
            <a:rPr lang="en-US" sz="1100">
              <a:solidFill>
                <a:schemeClr val="dk1"/>
              </a:solidFill>
              <a:effectLst/>
              <a:latin typeface="Montserrat" pitchFamily="2" charset="0"/>
              <a:ea typeface="+mn-ea"/>
              <a:cs typeface="+mn-cs"/>
            </a:rPr>
            <a:t>This field may be used to provide any other relevant information or clarifications.</a:t>
          </a: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2. Level 3 - Biotic impact - Average values and EQS category and score organized per EQS sampling zone and indicator</a:t>
          </a:r>
          <a:endParaRPr lang="en-GB">
            <a:effectLst/>
            <a:latin typeface="Montserrat" pitchFamily="2" charset="0"/>
          </a:endParaRPr>
        </a:p>
        <a:p>
          <a:r>
            <a:rPr lang="en-GB" sz="1100" b="1">
              <a:solidFill>
                <a:schemeClr val="dk1"/>
              </a:solidFill>
              <a:effectLst/>
              <a:latin typeface="Montserrat" pitchFamily="2" charset="0"/>
              <a:ea typeface="+mn-ea"/>
              <a:cs typeface="+mn-cs"/>
            </a:rPr>
            <a:t>Biotic indicator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GB" sz="1100">
              <a:solidFill>
                <a:schemeClr val="dk1"/>
              </a:solidFill>
              <a:effectLst/>
              <a:latin typeface="Montserrat" pitchFamily="2" charset="0"/>
              <a:ea typeface="+mn-ea"/>
              <a:cs typeface="+mn-cs"/>
            </a:rPr>
            <a:t>The biotic indicators</a:t>
          </a:r>
          <a:r>
            <a:rPr lang="en-GB" sz="1100" baseline="0">
              <a:solidFill>
                <a:schemeClr val="dk1"/>
              </a:solidFill>
              <a:effectLst/>
              <a:latin typeface="Montserrat" pitchFamily="2" charset="0"/>
              <a:ea typeface="+mn-ea"/>
              <a:cs typeface="+mn-cs"/>
            </a:rPr>
            <a:t> are</a:t>
          </a:r>
          <a:r>
            <a:rPr lang="en-GB" sz="1100">
              <a:solidFill>
                <a:schemeClr val="dk1"/>
              </a:solidFill>
              <a:effectLst/>
              <a:latin typeface="Montserrat" pitchFamily="2" charset="0"/>
              <a:ea typeface="+mn-ea"/>
              <a:cs typeface="+mn-cs"/>
            </a:rPr>
            <a:t> autopulated from table 1.</a:t>
          </a:r>
          <a:endParaRPr lang="en-GB">
            <a:effectLst/>
            <a:latin typeface="Montserrat" pitchFamily="2" charset="0"/>
          </a:endParaRP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GB" sz="1100">
              <a:solidFill>
                <a:schemeClr val="dk1"/>
              </a:solidFill>
              <a:effectLst/>
              <a:latin typeface="Montserrat" pitchFamily="2" charset="0"/>
              <a:ea typeface="+mn-ea"/>
              <a:cs typeface="+mn-cs"/>
            </a:rPr>
            <a:t>The EQS sampling zone is autopopulated from table 1.</a:t>
          </a:r>
          <a:endParaRPr lang="en-GB">
            <a:effectLst/>
            <a:latin typeface="Montserrat" pitchFamily="2" charset="0"/>
          </a:endParaRP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indicator value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average indicator value per EQS sampling zone is automatically calculated from table 1.</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category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EQS category is determined based on the threshold from table 2 of Appendix 7.1 of the ASC Farm Standard.</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Indicator EQS score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indicator EQS score is determined based on methodology of Appendix 7.3.2 of the ASC Farm Standard.</a:t>
          </a:r>
        </a:p>
        <a:p>
          <a:endParaRPr lang="en-US" sz="1100" b="1" u="sng">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3. Level 3 - Biotic impact - EQS classification per sampling zone</a:t>
          </a:r>
          <a:endParaRPr lang="en-US"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sampling zone (Autopopulated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EQS sampling zonse are autopopulated from table 1.</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score</a:t>
          </a:r>
          <a:r>
            <a:rPr lang="en-US" sz="1100">
              <a:solidFill>
                <a:schemeClr val="dk1"/>
              </a:solidFill>
              <a:effectLst/>
              <a:latin typeface="Montserrat" pitchFamily="2" charset="0"/>
              <a:ea typeface="+mn-ea"/>
              <a:cs typeface="+mn-cs"/>
            </a:rPr>
            <a:t> (Calculated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zone EQS score is determined based on methodology of Appendix 7.3.2 of the ASC Farm Standard.</a:t>
          </a: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category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zone EQS category is determined based on methodology of Appendix 7.3.2 of the ASC Farm Standard.</a:t>
          </a:r>
        </a:p>
        <a:p>
          <a:endParaRPr lang="en-US" sz="1100" b="1" u="sng">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4. Level 3 - Biotic impact - Benthic status</a:t>
          </a:r>
        </a:p>
        <a:p>
          <a:r>
            <a:rPr lang="en-US" sz="1100" b="1">
              <a:solidFill>
                <a:schemeClr val="dk1"/>
              </a:solidFill>
              <a:effectLst/>
              <a:latin typeface="Montserrat" pitchFamily="2" charset="0"/>
              <a:ea typeface="+mn-ea"/>
              <a:cs typeface="+mn-cs"/>
            </a:rPr>
            <a:t>Benthic status - Level 3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benthic status is determined using the zone EQS categories from table 3 using the methodology of Appendix 7.3.2 of the ASC Farm Standard.</a:t>
          </a:r>
          <a:endParaRPr lang="en-US" sz="1100" b="1" u="sng">
            <a:solidFill>
              <a:schemeClr val="dk1"/>
            </a:solidFill>
            <a:effectLst/>
            <a:latin typeface="Montserrat" pitchFamily="2" charset="0"/>
            <a:ea typeface="+mn-ea"/>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31</xdr:col>
      <xdr:colOff>11905</xdr:colOff>
      <xdr:row>2</xdr:row>
      <xdr:rowOff>0</xdr:rowOff>
    </xdr:from>
    <xdr:to>
      <xdr:col>44</xdr:col>
      <xdr:colOff>10204</xdr:colOff>
      <xdr:row>138</xdr:row>
      <xdr:rowOff>35719</xdr:rowOff>
    </xdr:to>
    <mc:AlternateContent xmlns:mc="http://schemas.openxmlformats.org/markup-compatibility/2006" xmlns:a14="http://schemas.microsoft.com/office/drawing/2010/main">
      <mc:Choice Requires="a14">
        <xdr:sp macro="" textlink="">
          <xdr:nvSpPr>
            <xdr:cNvPr id="2" name="Rectangle 2">
              <a:extLst>
                <a:ext uri="{FF2B5EF4-FFF2-40B4-BE49-F238E27FC236}">
                  <a16:creationId xmlns:a16="http://schemas.microsoft.com/office/drawing/2014/main" id="{8508ABD6-1F1C-4A65-A3FD-03AC4D963A9A}"/>
                </a:ext>
              </a:extLst>
            </xdr:cNvPr>
            <xdr:cNvSpPr/>
          </xdr:nvSpPr>
          <xdr:spPr>
            <a:xfrm>
              <a:off x="31777780" y="428625"/>
              <a:ext cx="8201705" cy="29170313"/>
            </a:xfrm>
            <a:prstGeom prst="rect">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91440" tIns="45720" rIns="91440" bIns="45720" rtlCol="0" anchor="t">
              <a:noAutofit/>
            </a:bodyPr>
            <a:lstStyle/>
            <a:p>
              <a:r>
                <a:rPr lang="en-US" sz="1100" b="1" i="0">
                  <a:solidFill>
                    <a:schemeClr val="tx1"/>
                  </a:solidFill>
                  <a:effectLst/>
                  <a:latin typeface="Montserrat" panose="00000500000000000000" pitchFamily="2" charset="0"/>
                  <a:ea typeface="+mn-ea"/>
                  <a:cs typeface="+mn-cs"/>
                </a:rPr>
                <a:t>USER GUIDANCE</a:t>
              </a:r>
              <a:endParaRPr lang="en-US" sz="1100" b="0" i="0" baseline="0">
                <a:solidFill>
                  <a:sysClr val="windowText" lastClr="000000"/>
                </a:solidFill>
                <a:effectLst/>
                <a:latin typeface="Montserrat" panose="00000500000000000000" pitchFamily="2" charset="0"/>
                <a:ea typeface="+mn-ea"/>
                <a:cs typeface="+mn-cs"/>
              </a:endParaRPr>
            </a:p>
            <a:p>
              <a:r>
                <a:rPr lang="en-US" sz="1100" b="0" i="0" baseline="0">
                  <a:solidFill>
                    <a:sysClr val="windowText" lastClr="000000"/>
                  </a:solidFill>
                  <a:effectLst/>
                  <a:latin typeface="Montserrat" panose="00000500000000000000" pitchFamily="2" charset="0"/>
                  <a:ea typeface="+mn-ea"/>
                  <a:cs typeface="+mn-cs"/>
                </a:rPr>
                <a:t>Report in table 2 the feed use of each feed type listed in table 1, during the production period of each species at the </a:t>
              </a:r>
              <a:r>
                <a:rPr lang="en-US" sz="1100" b="0" i="0">
                  <a:solidFill>
                    <a:sysClr val="windowText" lastClr="000000"/>
                  </a:solidFill>
                  <a:effectLst/>
                  <a:latin typeface="Montserrat" panose="00000500000000000000" pitchFamily="2" charset="0"/>
                  <a:ea typeface="+mn-ea"/>
                  <a:cs typeface="+mn-cs"/>
                </a:rPr>
                <a:t>ASC</a:t>
              </a:r>
              <a:r>
                <a:rPr lang="en-US" sz="1100" b="0" i="0" baseline="0">
                  <a:solidFill>
                    <a:sysClr val="windowText" lastClr="000000"/>
                  </a:solidFill>
                  <a:effectLst/>
                  <a:latin typeface="Montserrat" panose="00000500000000000000" pitchFamily="2" charset="0"/>
                  <a:ea typeface="+mn-ea"/>
                  <a:cs typeface="+mn-cs"/>
                </a:rPr>
                <a:t> </a:t>
              </a:r>
              <a:r>
                <a:rPr lang="en-US" sz="1100" b="0" i="1" baseline="0">
                  <a:solidFill>
                    <a:sysClr val="windowText" lastClr="000000"/>
                  </a:solidFill>
                  <a:effectLst/>
                  <a:latin typeface="Montserrat" panose="00000500000000000000" pitchFamily="2" charset="0"/>
                  <a:ea typeface="+mn-ea"/>
                  <a:cs typeface="+mn-cs"/>
                </a:rPr>
                <a:t>certified</a:t>
              </a:r>
              <a:r>
                <a:rPr lang="en-US" sz="1100" b="0" i="0" baseline="0">
                  <a:solidFill>
                    <a:sysClr val="windowText" lastClr="000000"/>
                  </a:solidFill>
                  <a:effectLst/>
                  <a:latin typeface="Montserrat" panose="00000500000000000000" pitchFamily="2" charset="0"/>
                  <a:ea typeface="+mn-ea"/>
                  <a:cs typeface="+mn-cs"/>
                </a:rPr>
                <a:t> or </a:t>
              </a:r>
              <a:r>
                <a:rPr lang="en-US" sz="1100" b="0" i="1" baseline="0">
                  <a:solidFill>
                    <a:sysClr val="windowText" lastClr="000000"/>
                  </a:solidFill>
                  <a:effectLst/>
                  <a:latin typeface="Montserrat" panose="00000500000000000000" pitchFamily="2" charset="0"/>
                  <a:ea typeface="+mn-ea"/>
                  <a:cs typeface="+mn-cs"/>
                </a:rPr>
                <a:t>suspended</a:t>
              </a:r>
              <a:r>
                <a:rPr lang="en-US" sz="1100" b="0" i="0" baseline="0">
                  <a:solidFill>
                    <a:sysClr val="windowText" lastClr="000000"/>
                  </a:solidFill>
                  <a:effectLst/>
                  <a:latin typeface="Montserrat" panose="00000500000000000000" pitchFamily="2" charset="0"/>
                  <a:ea typeface="+mn-ea"/>
                  <a:cs typeface="+mn-cs"/>
                </a:rPr>
                <a:t> farm site. </a:t>
              </a:r>
              <a:r>
                <a:rPr lang="en-US" sz="1100" b="0" i="0">
                  <a:solidFill>
                    <a:sysClr val="windowText" lastClr="000000"/>
                  </a:solidFill>
                  <a:effectLst/>
                  <a:latin typeface="Montserrat" panose="00000500000000000000" pitchFamily="2" charset="0"/>
                  <a:ea typeface="+mn-ea"/>
                  <a:cs typeface="+mn-cs"/>
                </a:rPr>
                <a:t>Consider feed use during the indicated production</a:t>
              </a:r>
              <a:r>
                <a:rPr lang="en-US" sz="1100" b="0" i="0" baseline="0">
                  <a:solidFill>
                    <a:sysClr val="windowText" lastClr="000000"/>
                  </a:solidFill>
                  <a:effectLst/>
                  <a:latin typeface="Montserrat" panose="00000500000000000000" pitchFamily="2" charset="0"/>
                  <a:ea typeface="+mn-ea"/>
                  <a:cs typeface="+mn-cs"/>
                </a:rPr>
                <a:t> period for </a:t>
              </a:r>
              <a:r>
                <a:rPr lang="en-US" sz="1100" b="0" i="0">
                  <a:solidFill>
                    <a:sysClr val="windowText" lastClr="000000"/>
                  </a:solidFill>
                  <a:effectLst/>
                  <a:latin typeface="Montserrat" panose="00000500000000000000" pitchFamily="2" charset="0"/>
                  <a:ea typeface="+mn-ea"/>
                  <a:cs typeface="+mn-cs"/>
                </a:rPr>
                <a:t>the ASC</a:t>
              </a:r>
              <a:r>
                <a:rPr lang="en-US" sz="1100" b="0" i="0" baseline="0">
                  <a:solidFill>
                    <a:sysClr val="windowText" lastClr="000000"/>
                  </a:solidFill>
                  <a:effectLst/>
                  <a:latin typeface="Montserrat" panose="00000500000000000000" pitchFamily="2" charset="0"/>
                  <a:ea typeface="+mn-ea"/>
                  <a:cs typeface="+mn-cs"/>
                </a:rPr>
                <a:t> certified </a:t>
              </a:r>
              <a:r>
                <a:rPr lang="en-US" sz="1100" b="0" i="0" baseline="0">
                  <a:solidFill>
                    <a:schemeClr val="tx1"/>
                  </a:solidFill>
                  <a:effectLst/>
                  <a:latin typeface="Montserrat" panose="00000500000000000000" pitchFamily="2" charset="0"/>
                  <a:ea typeface="+mn-ea"/>
                  <a:cs typeface="+mn-cs"/>
                </a:rPr>
                <a:t>production volume only, as reported in 'Site and production details'.</a:t>
              </a:r>
              <a:endParaRPr lang="en-NL" sz="1100">
                <a:solidFill>
                  <a:schemeClr val="tx1"/>
                </a:solidFill>
                <a:effectLst/>
                <a:latin typeface="Montserrat" panose="00000500000000000000" pitchFamily="2" charset="0"/>
              </a:endParaRPr>
            </a:p>
            <a:p>
              <a:r>
                <a:rPr lang="en-US" sz="1100" b="0" i="0" baseline="0">
                  <a:solidFill>
                    <a:schemeClr val="tx1"/>
                  </a:solidFill>
                  <a:effectLst/>
                  <a:latin typeface="Montserrat" panose="00000500000000000000" pitchFamily="2" charset="0"/>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chemeClr val="tx1"/>
                  </a:solidFill>
                  <a:effectLst/>
                  <a:latin typeface="Montserrat" panose="00000500000000000000" pitchFamily="2" charset="0"/>
                  <a:ea typeface="+mn-ea"/>
                  <a:cs typeface="+mn-cs"/>
                </a:rPr>
                <a:t>Report in t</a:t>
              </a:r>
              <a:r>
                <a:rPr lang="en-US" sz="1100" b="0" i="0" baseline="0">
                  <a:solidFill>
                    <a:sysClr val="windowText" lastClr="000000"/>
                  </a:solidFill>
                  <a:effectLst/>
                  <a:latin typeface="Montserrat" panose="00000500000000000000" pitchFamily="2" charset="0"/>
                  <a:ea typeface="+mn-ea"/>
                  <a:cs typeface="+mn-cs"/>
                </a:rPr>
                <a:t>able 3 the </a:t>
              </a:r>
              <a:r>
                <a:rPr lang="en-US" sz="1100" b="0" i="0">
                  <a:solidFill>
                    <a:sysClr val="windowText" lastClr="000000"/>
                  </a:solidFill>
                  <a:effectLst/>
                  <a:latin typeface="Montserrat" panose="00000500000000000000" pitchFamily="2" charset="0"/>
                  <a:ea typeface="+mn-ea"/>
                  <a:cs typeface="+mn-cs"/>
                </a:rPr>
                <a:t>crude protein content at </a:t>
              </a:r>
              <a:r>
                <a:rPr lang="en-US" sz="1100" b="0" i="0" baseline="0">
                  <a:solidFill>
                    <a:schemeClr val="tx1"/>
                  </a:solidFill>
                  <a:effectLst/>
                  <a:latin typeface="Montserrat" panose="00000500000000000000" pitchFamily="2" charset="0"/>
                  <a:ea typeface="+mn-ea"/>
                  <a:cs typeface="+mn-cs"/>
                </a:rPr>
                <a:t>harvest of each species in production.</a:t>
              </a:r>
            </a:p>
            <a:p>
              <a:endParaRPr lang="en-US" sz="1100" b="0" i="0" baseline="0">
                <a:solidFill>
                  <a:schemeClr val="tx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chemeClr val="tx1"/>
                  </a:solidFill>
                  <a:effectLst/>
                  <a:latin typeface="Montserrat" panose="00000500000000000000" pitchFamily="2" charset="0"/>
                  <a:ea typeface="+mn-ea"/>
                  <a:cs typeface="+mn-cs"/>
                </a:rPr>
                <a:t>In table 4 the weighted average feed efficiency values (based on relative feed use) are calculated per species per farm site (thus not per production cycle) over the net production volume in the reporting year using the information provided in table 1, 2 and 3, </a:t>
              </a:r>
              <a:r>
                <a:rPr lang="en-US" sz="1100" b="0" i="0" baseline="0">
                  <a:solidFill>
                    <a:sysClr val="windowText" lastClr="000000"/>
                  </a:solidFill>
                  <a:effectLst/>
                  <a:latin typeface="Montserrat" panose="00000500000000000000" pitchFamily="2" charset="0"/>
                  <a:ea typeface="+mn-ea"/>
                  <a:cs typeface="+mn-cs"/>
                </a:rPr>
                <a:t>respectively. The ASC certified net production volume is calculated from data provided in the 'Site and production details' tab.</a:t>
              </a:r>
              <a:r>
                <a:rPr lang="de-DE" sz="1100" b="0" i="0" baseline="0">
                  <a:solidFill>
                    <a:sysClr val="windowText" lastClr="000000"/>
                  </a:solidFill>
                  <a:effectLst/>
                  <a:latin typeface="Montserrat" panose="00000500000000000000" pitchFamily="2" charset="0"/>
                  <a:ea typeface="+mn-ea"/>
                  <a:cs typeface="+mn-cs"/>
                </a:rPr>
                <a:t> </a:t>
              </a:r>
              <a:r>
                <a:rPr lang="en-US" sz="1100" b="0" i="0" baseline="0">
                  <a:solidFill>
                    <a:sysClr val="windowText" lastClr="000000"/>
                  </a:solidFill>
                  <a:effectLst/>
                  <a:latin typeface="Montserrat" panose="00000500000000000000" pitchFamily="2" charset="0"/>
                  <a:ea typeface="+mn-ea"/>
                  <a:cs typeface="+mn-cs"/>
                </a:rPr>
                <a:t>The feed efficiency values that are calculated are the weighted average economic f</a:t>
              </a:r>
              <a:r>
                <a:rPr lang="en-US" sz="1100" b="0" i="0">
                  <a:solidFill>
                    <a:sysClr val="windowText" lastClr="000000"/>
                  </a:solidFill>
                  <a:effectLst/>
                  <a:latin typeface="Montserrat" panose="00000500000000000000" pitchFamily="2" charset="0"/>
                  <a:ea typeface="+mn-ea"/>
                  <a:cs typeface="+mn-cs"/>
                </a:rPr>
                <a:t>eed conversion ratio (eFCR), the protein</a:t>
              </a:r>
              <a:r>
                <a:rPr lang="en-US" sz="1100" b="0" i="0" baseline="0">
                  <a:solidFill>
                    <a:sysClr val="windowText" lastClr="000000"/>
                  </a:solidFill>
                  <a:effectLst/>
                  <a:latin typeface="Montserrat" panose="00000500000000000000" pitchFamily="2" charset="0"/>
                  <a:ea typeface="+mn-ea"/>
                  <a:cs typeface="+mn-cs"/>
                </a:rPr>
                <a:t> retention efficiency (PRE),</a:t>
              </a:r>
              <a:r>
                <a:rPr lang="en-US" sz="1100" b="0" i="0">
                  <a:solidFill>
                    <a:sysClr val="windowText" lastClr="000000"/>
                  </a:solidFill>
                  <a:effectLst/>
                  <a:latin typeface="Montserrat" panose="00000500000000000000" pitchFamily="2" charset="0"/>
                  <a:ea typeface="+mn-ea"/>
                  <a:cs typeface="+mn-cs"/>
                </a:rPr>
                <a:t> the forage fish dependency ratio for fishmeal (FFDRm) and fish oil (FFDRo) and the weighted EPA and DHA content</a:t>
              </a:r>
              <a:r>
                <a:rPr lang="en-US" sz="1100" b="0" i="0" baseline="0">
                  <a:solidFill>
                    <a:sysClr val="windowText" lastClr="000000"/>
                  </a:solidFill>
                  <a:effectLst/>
                  <a:latin typeface="Montserrat" panose="00000500000000000000" pitchFamily="2" charset="0"/>
                  <a:ea typeface="+mn-ea"/>
                  <a:cs typeface="+mn-cs"/>
                </a:rPr>
                <a:t> of feed and fish oil</a:t>
              </a:r>
              <a:r>
                <a:rPr lang="en-US" sz="1100" b="0" i="0">
                  <a:solidFill>
                    <a:sysClr val="windowText" lastClr="000000"/>
                  </a:solidFill>
                  <a:effectLst/>
                  <a:latin typeface="Montserrat" panose="00000500000000000000" pitchFamily="2" charset="0"/>
                  <a:ea typeface="+mn-ea"/>
                  <a:cs typeface="+mn-cs"/>
                </a:rPr>
                <a:t> from direct marine sources. </a:t>
              </a:r>
            </a:p>
            <a:p>
              <a:endParaRPr lang="en-US" sz="1100" b="0" i="0" u="none" strike="noStrike">
                <a:solidFill>
                  <a:sysClr val="windowText" lastClr="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sng" strike="noStrike">
                  <a:solidFill>
                    <a:sysClr val="windowText" lastClr="000000"/>
                  </a:solidFill>
                  <a:latin typeface="Montserrat" panose="00000500000000000000" pitchFamily="2" charset="0"/>
                  <a:cs typeface="Calibri" panose="020F0502020204030204" pitchFamily="34" charset="0"/>
                </a:rPr>
                <a:t>TABLE 1. Feed</a:t>
              </a:r>
              <a:r>
                <a:rPr lang="en-US" sz="1100" b="1" i="0" u="sng" strike="noStrike" baseline="0">
                  <a:solidFill>
                    <a:sysClr val="windowText" lastClr="000000"/>
                  </a:solidFill>
                  <a:latin typeface="Montserrat" panose="00000500000000000000" pitchFamily="2" charset="0"/>
                  <a:cs typeface="Calibri" panose="020F0502020204030204" pitchFamily="34" charset="0"/>
                </a:rPr>
                <a:t> name and properties</a:t>
              </a: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i="0" u="none" strike="noStrike" baseline="0">
                  <a:solidFill>
                    <a:sysClr val="windowText" lastClr="000000"/>
                  </a:solidFill>
                  <a:latin typeface="Montserrat" panose="00000500000000000000" pitchFamily="2" charset="0"/>
                  <a:cs typeface="Calibri" panose="020F0502020204030204" pitchFamily="34" charset="0"/>
                </a:rPr>
                <a:t>Feed name </a:t>
              </a:r>
              <a:r>
                <a:rPr lang="en-US" sz="1100">
                  <a:solidFill>
                    <a:sysClr val="windowText" lastClr="000000"/>
                  </a:solidFill>
                  <a:effectLst/>
                  <a:latin typeface="Montserrat" panose="00000500000000000000" pitchFamily="2" charset="0"/>
                  <a:ea typeface="+mn-ea"/>
                  <a:cs typeface="+mn-cs"/>
                </a:rPr>
                <a:t>(Mandatory field)</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r>
                <a:rPr lang="en-US" sz="1100" b="0" i="0" u="none" strike="noStrike" baseline="0">
                  <a:solidFill>
                    <a:sysClr val="windowText" lastClr="000000"/>
                  </a:solidFill>
                  <a:latin typeface="Montserrat" panose="00000500000000000000" pitchFamily="2" charset="0"/>
                  <a:cs typeface="Calibri" panose="020F0502020204030204" pitchFamily="34" charset="0"/>
                </a:rPr>
                <a:t>Provide here the name of each feed type that was used during the production period of concern.</a:t>
              </a:r>
            </a:p>
            <a:p>
              <a:pPr marL="0" marR="0" lvl="0" indent="0" algn="l" defTabSz="914400" eaLnBrk="1" fontAlgn="auto" latinLnBrk="0" hangingPunct="1">
                <a:lnSpc>
                  <a:spcPct val="100000"/>
                </a:lnSpc>
                <a:spcBef>
                  <a:spcPts val="0"/>
                </a:spcBef>
                <a:spcAft>
                  <a:spcPts val="0"/>
                </a:spcAft>
                <a:buClrTx/>
                <a:buSzTx/>
                <a:buFontTx/>
                <a:buNone/>
                <a:tabLst/>
                <a:defRPr/>
              </a:pPr>
              <a:endParaRPr lang="en-US" sz="1100">
                <a:solidFill>
                  <a:sysClr val="windowText" lastClr="000000"/>
                </a:solidFill>
                <a:effectLst/>
                <a:latin typeface="Montserrat" panose="00000500000000000000" pitchFamily="2" charset="0"/>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i="0" u="none" strike="noStrike" baseline="0">
                  <a:solidFill>
                    <a:sysClr val="windowText" lastClr="000000"/>
                  </a:solidFill>
                  <a:latin typeface="Montserrat" panose="00000500000000000000" pitchFamily="2" charset="0"/>
                  <a:cs typeface="Calibri" panose="020F0502020204030204" pitchFamily="34" charset="0"/>
                </a:rPr>
                <a:t>Product ID </a:t>
              </a:r>
              <a:r>
                <a:rPr lang="en-US" sz="1100">
                  <a:solidFill>
                    <a:sysClr val="windowText" lastClr="000000"/>
                  </a:solidFill>
                  <a:effectLst/>
                  <a:latin typeface="Montserrat" panose="00000500000000000000" pitchFamily="2" charset="0"/>
                  <a:ea typeface="+mn-ea"/>
                  <a:cs typeface="+mn-cs"/>
                </a:rPr>
                <a:t>(Mandatory field, if ASC certified feed is</a:t>
              </a:r>
              <a:r>
                <a:rPr lang="en-US" sz="1100" baseline="0">
                  <a:solidFill>
                    <a:sysClr val="windowText" lastClr="000000"/>
                  </a:solidFill>
                  <a:effectLst/>
                  <a:latin typeface="Montserrat" panose="00000500000000000000" pitchFamily="2" charset="0"/>
                  <a:ea typeface="+mn-ea"/>
                  <a:cs typeface="+mn-cs"/>
                </a:rPr>
                <a:t> used)</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r>
                <a:rPr lang="en-US" sz="1100" b="0" i="0" u="none" strike="noStrike" baseline="0">
                  <a:solidFill>
                    <a:sysClr val="windowText" lastClr="000000"/>
                  </a:solidFill>
                  <a:latin typeface="Montserrat" panose="00000500000000000000" pitchFamily="2" charset="0"/>
                  <a:cs typeface="Calibri" panose="020F0502020204030204" pitchFamily="34" charset="0"/>
                </a:rPr>
                <a:t>Provide the ASC identification number of each feed type i</a:t>
              </a:r>
              <a:r>
                <a:rPr lang="en-US" sz="1100" b="0" i="0" baseline="0">
                  <a:solidFill>
                    <a:sysClr val="windowText" lastClr="000000"/>
                  </a:solidFill>
                  <a:effectLst/>
                  <a:latin typeface="Montserrat" panose="00000500000000000000" pitchFamily="2" charset="0"/>
                  <a:ea typeface="+mn-ea"/>
                  <a:cs typeface="+mn-cs"/>
                </a:rPr>
                <a:t>n case the feed is ASC certified.</a:t>
              </a:r>
              <a:endParaRPr lang="en-US" sz="1100" b="0" i="0" u="none" strike="noStrike" baseline="0">
                <a:solidFill>
                  <a:sysClr val="windowText" lastClr="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endParaRPr lang="en-US" sz="1100" b="0" i="0" u="none" strike="noStrike" baseline="0">
                <a:solidFill>
                  <a:sysClr val="windowText" lastClr="000000"/>
                </a:solidFill>
                <a:latin typeface="Montserrat" panose="00000500000000000000" pitchFamily="2" charset="0"/>
                <a:cs typeface="Calibri" panose="020F050202020403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i="0" u="none" strike="noStrike" baseline="0">
                  <a:solidFill>
                    <a:sysClr val="windowText" lastClr="000000"/>
                  </a:solidFill>
                  <a:latin typeface="Montserrat" panose="00000500000000000000" pitchFamily="2" charset="0"/>
                  <a:cs typeface="Calibri" panose="020F0502020204030204" pitchFamily="34" charset="0"/>
                </a:rPr>
                <a:t>Fish meal in feed derived from forage fisheries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r>
                <a:rPr lang="en-US" sz="1100" b="0" i="0" u="none" strike="noStrike" baseline="0">
                  <a:solidFill>
                    <a:sysClr val="windowText" lastClr="000000"/>
                  </a:solidFill>
                  <a:latin typeface="Montserrat" panose="00000500000000000000" pitchFamily="2" charset="0"/>
                  <a:cs typeface="Calibri" panose="020F0502020204030204" pitchFamily="34" charset="0"/>
                </a:rPr>
                <a:t>Provide the percentage of fish meal in the feed that is derived from forage fisheries. Only fishmeal derived directly from forage fisheries (e.g. anchoveta) is to be included in the FFDRm calculation. Fishmeal derived from fisheries’ by-products, such as trimmings and offal shall not be included in the FFDRm calculation. Trimmings are defined as by-products when fish are processed for human consumption or if whole fish is rejected for use in human consumption. The value should be between zero and a hundred (0-100). </a:t>
              </a:r>
            </a:p>
            <a:p>
              <a:pPr marL="0" marR="0" indent="0" algn="l">
                <a:lnSpc>
                  <a:spcPct val="100000"/>
                </a:lnSpc>
                <a:spcBef>
                  <a:spcPts val="0"/>
                </a:spcBef>
                <a:spcAft>
                  <a:spcPts val="0"/>
                </a:spcAft>
              </a:pPr>
              <a:endParaRPr lang="en-US" sz="1100" b="0" i="0" u="none" strike="noStrike" baseline="0">
                <a:solidFill>
                  <a:sysClr val="windowText" lastClr="000000"/>
                </a:solidFill>
                <a:latin typeface="Montserrat" panose="00000500000000000000" pitchFamily="2" charset="0"/>
                <a:cs typeface="Calibri" panose="020F050202020403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Fish oil in feed derived from forage fisheries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Provide the percentage of fish oil in the feed that is derived from forage fisheries. Only fish oil derived directly from forage fisheries (e.g. anchoveta) is to be included in the FFDRo calculation. Fish oil derived from fisheries’ by-products, such as trimmings and offal shall not be included in the FFDRo calculation. Trimmings are defined as by-products when fish are processed for human consumption or if whole fish is rejected for use in human consumption. The value should be between zero and a hundred (0-100). </a:t>
              </a:r>
            </a:p>
            <a:p>
              <a:endParaRPr lang="en-US" sz="1100" b="0" i="0"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EPA and DHA content of fish oil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r>
                <a:rPr lang="en-US" sz="1100" b="0" i="0" baseline="0">
                  <a:solidFill>
                    <a:sysClr val="windowText" lastClr="000000"/>
                  </a:solidFill>
                  <a:effectLst/>
                  <a:latin typeface="Montserrat" panose="00000500000000000000" pitchFamily="2" charset="0"/>
                  <a:ea typeface="+mn-ea"/>
                  <a:cs typeface="+mn-cs"/>
                </a:rPr>
                <a:t>Provide per feed type the amount of EPA + DHA in the fish oil from direct fisheries. This value should be disclosed by the feed supplier. The value should be between (0-100). </a:t>
              </a:r>
            </a:p>
            <a:p>
              <a:r>
                <a:rPr lang="en-US" sz="1100" b="0" i="0" baseline="0">
                  <a:solidFill>
                    <a:sysClr val="windowText" lastClr="000000"/>
                  </a:solidFill>
                  <a:effectLst/>
                  <a:latin typeface="Montserrat" panose="00000500000000000000" pitchFamily="2" charset="0"/>
                  <a:ea typeface="+mn-ea"/>
                  <a:cs typeface="+mn-cs"/>
                </a:rPr>
                <a:t>In case no value is provided by the the feed supplier, the below values can be used:</a:t>
              </a:r>
            </a:p>
            <a:p>
              <a:r>
                <a:rPr lang="en-US" sz="1100" b="0" i="0" baseline="0">
                  <a:solidFill>
                    <a:sysClr val="windowText" lastClr="000000"/>
                  </a:solidFill>
                  <a:effectLst/>
                  <a:latin typeface="Montserrat" panose="00000500000000000000" pitchFamily="2" charset="0"/>
                  <a:ea typeface="+mn-ea"/>
                  <a:cs typeface="+mn-cs"/>
                </a:rPr>
                <a:t>-  Fish oil originating from Peru and Chile and Gulf of Mexico: 30% EPA and DHA in fish oil;</a:t>
              </a:r>
            </a:p>
            <a:p>
              <a:r>
                <a:rPr lang="en-US" sz="1100" b="0" i="0" baseline="0">
                  <a:solidFill>
                    <a:sysClr val="windowText" lastClr="000000"/>
                  </a:solidFill>
                  <a:effectLst/>
                  <a:latin typeface="Montserrat" panose="00000500000000000000" pitchFamily="2" charset="0"/>
                  <a:ea typeface="+mn-ea"/>
                  <a:cs typeface="+mn-cs"/>
                </a:rPr>
                <a:t>-  Fish oil originating from the North Atlantic (Denmark, Norway, Iceland and the UK): 20% EPA and DHA in fish oil.</a:t>
              </a:r>
            </a:p>
            <a:p>
              <a:endParaRPr lang="en-US" sz="1100" b="0" i="0"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Fish oil yield per kg fish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Provide the fish oil yield of the fish oil in the feed. This value should be disclosed by the feed supplier. The value should be between zero and a hundred (0-100). </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In case no value is provided by the the feed supplier, the below values can be used:</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  Fish oil originating from Peru and Chile and Gulf of Mexico: 5% fish oil yield;</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  Fish oil originating from the North Atlantic (Denmark, Norway, Iceland and the UK): 7% fish oil yield.</a:t>
              </a:r>
            </a:p>
            <a:p>
              <a:r>
                <a:rPr lang="en-US" sz="1100" b="0" i="0" baseline="0">
                  <a:solidFill>
                    <a:sysClr val="windowText" lastClr="000000"/>
                  </a:solidFill>
                  <a:effectLst/>
                  <a:latin typeface="Montserrat" panose="00000500000000000000" pitchFamily="2" charset="0"/>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Fish meal yield per kg fish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r>
                <a:rPr lang="en-US" sz="1100" b="0" i="0" baseline="0">
                  <a:solidFill>
                    <a:sysClr val="windowText" lastClr="000000"/>
                  </a:solidFill>
                  <a:effectLst/>
                  <a:latin typeface="Montserrat" panose="00000500000000000000" pitchFamily="2" charset="0"/>
                  <a:ea typeface="+mn-ea"/>
                  <a:cs typeface="+mn-cs"/>
                </a:rPr>
                <a:t>Provide the fish meal yield of the fish meal in the feed. This value should be disclosed by the feed supplier. The value should be between zero and a hundred (0-100). </a:t>
              </a:r>
            </a:p>
            <a:p>
              <a:r>
                <a:rPr lang="en-US" sz="1100" b="0" i="0" baseline="0">
                  <a:solidFill>
                    <a:sysClr val="windowText" lastClr="000000"/>
                  </a:solidFill>
                  <a:effectLst/>
                  <a:latin typeface="Montserrat" panose="00000500000000000000" pitchFamily="2" charset="0"/>
                  <a:ea typeface="+mn-ea"/>
                  <a:cs typeface="+mn-cs"/>
                </a:rPr>
                <a:t>In case no value was provided by the feed supplier a value of 24% can be used. </a:t>
              </a:r>
            </a:p>
            <a:p>
              <a:endParaRPr lang="en-US" sz="1100" b="1" i="0"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Protein content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r>
                <a:rPr lang="en-US" sz="1100" b="0" i="0" baseline="0">
                  <a:solidFill>
                    <a:sysClr val="windowText" lastClr="000000"/>
                  </a:solidFill>
                  <a:effectLst/>
                  <a:latin typeface="Montserrat" panose="00000500000000000000" pitchFamily="2" charset="0"/>
                  <a:ea typeface="+mn-ea"/>
                  <a:cs typeface="+mn-cs"/>
                </a:rPr>
                <a:t>Provide for each feed type the protein content. Only in case where the protein content of the feed is not known, the total nitrogen content of the feed can be used to estimate the protein content.  A conversion to protein content can be made by multiplying the nitrogen (%) by 6.25. The value should be between zero and a hundred (0-100).</a:t>
              </a:r>
            </a:p>
            <a:p>
              <a:endParaRPr lang="en-US" sz="1100" b="0" i="0" baseline="0">
                <a:solidFill>
                  <a:sysClr val="windowText" lastClr="000000"/>
                </a:solidFill>
                <a:effectLst/>
                <a:latin typeface="Montserrat" panose="00000500000000000000" pitchFamily="2" charset="0"/>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i="0" u="none" strike="noStrike" baseline="0">
                  <a:solidFill>
                    <a:sysClr val="windowText" lastClr="000000"/>
                  </a:solidFill>
                  <a:effectLst/>
                  <a:latin typeface="Montserrat" panose="00000500000000000000" pitchFamily="2" charset="0"/>
                  <a:ea typeface="+mn-ea"/>
                  <a:cs typeface="+mn-cs"/>
                </a:rPr>
                <a:t>GMO ingredients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r>
                <a:rPr lang="en-US" sz="1100" b="0" i="0" u="none" strike="noStrike" baseline="0">
                  <a:solidFill>
                    <a:sysClr val="windowText" lastClr="000000"/>
                  </a:solidFill>
                  <a:effectLst/>
                  <a:latin typeface="Montserrat" panose="00000500000000000000" pitchFamily="2" charset="0"/>
                  <a:ea typeface="+mn-ea"/>
                  <a:cs typeface="+mn-cs"/>
                </a:rPr>
                <a:t>Provide for each feed type the percentage of ingredients from Genetically Modified Organisms (GMO) or macro ingredients produced from GMO. The value should be between zero and a hundred (0-100). </a:t>
              </a:r>
            </a:p>
            <a:p>
              <a:pPr marL="0" marR="0" indent="0" algn="l">
                <a:lnSpc>
                  <a:spcPct val="100000"/>
                </a:lnSpc>
                <a:spcBef>
                  <a:spcPts val="0"/>
                </a:spcBef>
                <a:spcAft>
                  <a:spcPts val="0"/>
                </a:spcAft>
              </a:pPr>
              <a:endParaRPr lang="en-US" sz="1100" b="0" i="0" baseline="0">
                <a:solidFill>
                  <a:sysClr val="windowText" lastClr="000000"/>
                </a:solidFill>
                <a:effectLst/>
                <a:latin typeface="Montserrat" panose="00000500000000000000" pitchFamily="2" charset="0"/>
                <a:ea typeface="+mn-ea"/>
                <a:cs typeface="+mn-cs"/>
              </a:endParaRPr>
            </a:p>
            <a:p>
              <a:pPr marL="0" marR="0" indent="0" algn="l">
                <a:lnSpc>
                  <a:spcPct val="100000"/>
                </a:lnSpc>
                <a:spcBef>
                  <a:spcPts val="0"/>
                </a:spcBef>
                <a:spcAft>
                  <a:spcPts val="0"/>
                </a:spcAft>
              </a:pPr>
              <a:r>
                <a:rPr lang="en-US" sz="1100" b="1" i="0" baseline="0">
                  <a:solidFill>
                    <a:sysClr val="windowText" lastClr="000000"/>
                  </a:solidFill>
                  <a:effectLst/>
                  <a:latin typeface="Montserrat" panose="00000500000000000000" pitchFamily="2" charset="0"/>
                  <a:ea typeface="+mn-ea"/>
                  <a:cs typeface="+mn-cs"/>
                </a:rPr>
                <a:t>Notes </a:t>
              </a:r>
              <a:r>
                <a:rPr lang="en-US" sz="1100" b="0" i="0" baseline="0">
                  <a:solidFill>
                    <a:sysClr val="windowText" lastClr="000000"/>
                  </a:solidFill>
                  <a:effectLst/>
                  <a:latin typeface="Montserrat" panose="00000500000000000000" pitchFamily="2" charset="0"/>
                  <a:ea typeface="+mn-ea"/>
                  <a:cs typeface="+mn-cs"/>
                </a:rPr>
                <a:t>(Voluntary field)</a:t>
              </a:r>
            </a:p>
            <a:p>
              <a:pPr marL="0" marR="0" indent="0" algn="l">
                <a:lnSpc>
                  <a:spcPct val="100000"/>
                </a:lnSpc>
                <a:spcBef>
                  <a:spcPts val="0"/>
                </a:spcBef>
                <a:spcAft>
                  <a:spcPts val="0"/>
                </a:spcAft>
              </a:pPr>
              <a:r>
                <a:rPr lang="en-US" sz="1100" b="0" i="0" baseline="0">
                  <a:solidFill>
                    <a:sysClr val="windowText" lastClr="000000"/>
                  </a:solidFill>
                  <a:effectLst/>
                  <a:latin typeface="Montserrat" panose="00000500000000000000" pitchFamily="2" charset="0"/>
                  <a:ea typeface="+mn-ea"/>
                  <a:cs typeface="+mn-cs"/>
                </a:rPr>
                <a:t>This field may be used to provide any other relevant information or clarifications.</a:t>
              </a:r>
            </a:p>
            <a:p>
              <a:pPr marL="0" marR="0" indent="0" algn="l">
                <a:lnSpc>
                  <a:spcPct val="100000"/>
                </a:lnSpc>
                <a:spcBef>
                  <a:spcPts val="0"/>
                </a:spcBef>
                <a:spcAft>
                  <a:spcPts val="0"/>
                </a:spcAft>
              </a:pPr>
              <a:endParaRPr lang="en-US" sz="1100" b="0" i="0" u="none" strike="noStrike" baseline="0">
                <a:solidFill>
                  <a:srgbClr val="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sng" strike="noStrike" baseline="0">
                  <a:solidFill>
                    <a:srgbClr val="000000"/>
                  </a:solidFill>
                  <a:latin typeface="Montserrat" panose="00000500000000000000" pitchFamily="2" charset="0"/>
                  <a:cs typeface="Calibri" panose="020F0502020204030204" pitchFamily="34" charset="0"/>
                </a:rPr>
                <a:t>TABLE 2. Feed use reporting per species</a:t>
              </a:r>
              <a:endParaRPr lang="en-NL" sz="1100">
                <a:solidFill>
                  <a:schemeClr val="tx1"/>
                </a:solidFill>
                <a:effectLst/>
                <a:latin typeface="Montserrat" panose="00000500000000000000" pitchFamily="2" charset="0"/>
              </a:endParaRPr>
            </a:p>
            <a:p>
              <a:pPr eaLnBrk="1" fontAlgn="auto" latinLnBrk="0" hangingPunct="1"/>
              <a:r>
                <a:rPr lang="en-US" sz="1100" b="1" i="0">
                  <a:solidFill>
                    <a:schemeClr val="tx1"/>
                  </a:solidFill>
                  <a:effectLst/>
                  <a:latin typeface="Montserrat" panose="00000500000000000000" pitchFamily="2" charset="0"/>
                  <a:ea typeface="+mn-ea"/>
                  <a:cs typeface="+mn-cs"/>
                </a:rPr>
                <a:t>Species in production (select) </a:t>
              </a:r>
              <a:r>
                <a:rPr lang="en-US" sz="1100" b="0" i="0">
                  <a:solidFill>
                    <a:schemeClr val="tx1"/>
                  </a:solidFill>
                  <a:effectLst/>
                  <a:latin typeface="Montserrat" panose="00000500000000000000" pitchFamily="2" charset="0"/>
                  <a:ea typeface="+mn-ea"/>
                  <a:cs typeface="+mn-cs"/>
                </a:rPr>
                <a:t>(Mandatory field)</a:t>
              </a:r>
              <a:endParaRPr lang="en-NL" sz="1100">
                <a:solidFill>
                  <a:schemeClr val="tx1"/>
                </a:solidFill>
                <a:effectLst/>
                <a:latin typeface="Montserrat" panose="00000500000000000000" pitchFamily="2" charset="0"/>
              </a:endParaRPr>
            </a:p>
            <a:p>
              <a:r>
                <a:rPr lang="en-GB" sz="1100" b="0" baseline="0">
                  <a:solidFill>
                    <a:schemeClr val="tx1"/>
                  </a:solidFill>
                  <a:effectLst/>
                  <a:latin typeface="Montserrat" panose="00000500000000000000" pitchFamily="2" charset="0"/>
                  <a:ea typeface="+mn-ea"/>
                  <a:cs typeface="+mn-cs"/>
                </a:rPr>
                <a:t>Select the species in production feed use is reported for. The selection option is based on the species provided in the 'Site and production details' tab.</a:t>
              </a:r>
              <a:endParaRPr lang="en-NL" sz="1100">
                <a:solidFill>
                  <a:schemeClr val="tx1"/>
                </a:solidFill>
                <a:effectLst/>
                <a:latin typeface="Montserrat" panose="00000500000000000000" pitchFamily="2" charset="0"/>
              </a:endParaRPr>
            </a:p>
            <a:p>
              <a:endParaRPr lang="en-US" sz="1100" b="0" i="0" u="none" strike="noStrike" baseline="0">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chemeClr val="tx1"/>
                  </a:solidFill>
                  <a:latin typeface="Montserrat" panose="00000500000000000000" pitchFamily="2" charset="0"/>
                  <a:cs typeface="Calibri" panose="020F0502020204030204" pitchFamily="34" charset="0"/>
                </a:rPr>
                <a:t>Cycle ID (select) </a:t>
              </a:r>
              <a:r>
                <a:rPr lang="en-US" sz="1100" b="0" i="0" u="none" strike="noStrike" baseline="0">
                  <a:solidFill>
                    <a:schemeClr val="tx1"/>
                  </a:solidFill>
                  <a:latin typeface="Montserrat" panose="00000500000000000000" pitchFamily="2" charset="0"/>
                  <a:cs typeface="Calibri" panose="020F0502020204030204" pitchFamily="34" charset="0"/>
                </a:rPr>
                <a:t>(Voluntary field)</a:t>
              </a:r>
            </a:p>
            <a:p>
              <a:pPr marL="0" marR="0" indent="0" algn="l">
                <a:lnSpc>
                  <a:spcPct val="100000"/>
                </a:lnSpc>
                <a:spcBef>
                  <a:spcPts val="0"/>
                </a:spcBef>
                <a:spcAft>
                  <a:spcPts val="0"/>
                </a:spcAft>
              </a:pPr>
              <a:r>
                <a:rPr lang="en-US" sz="1100" b="0" i="0" u="none" strike="noStrike" baseline="0">
                  <a:solidFill>
                    <a:schemeClr val="tx1"/>
                  </a:solidFill>
                  <a:latin typeface="Montserrat" panose="00000500000000000000" pitchFamily="2" charset="0"/>
                  <a:cs typeface="Calibri" panose="020F0502020204030204" pitchFamily="34" charset="0"/>
                </a:rPr>
                <a:t>Select the cycle ID feed use is reported for. The selection option is based on the cycle IDs provided in the 'Site and production details' tab.</a:t>
              </a:r>
            </a:p>
            <a:p>
              <a:pPr marL="0" marR="0" indent="0" algn="l">
                <a:lnSpc>
                  <a:spcPct val="100000"/>
                </a:lnSpc>
                <a:spcBef>
                  <a:spcPts val="0"/>
                </a:spcBef>
                <a:spcAft>
                  <a:spcPts val="0"/>
                </a:spcAft>
              </a:pPr>
              <a:endParaRPr lang="en-US" sz="1100" b="1" i="0" u="none" strike="noStrike" baseline="0">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chemeClr val="tx1"/>
                  </a:solidFill>
                  <a:latin typeface="Montserrat" panose="00000500000000000000" pitchFamily="2" charset="0"/>
                  <a:cs typeface="Calibri" panose="020F0502020204030204" pitchFamily="34" charset="0"/>
                </a:rPr>
                <a:t>Feed type (select) </a:t>
              </a:r>
              <a:r>
                <a:rPr lang="en-US" sz="1100" b="0" i="0" u="none" strike="noStrike" baseline="0">
                  <a:solidFill>
                    <a:schemeClr val="tx1"/>
                  </a:solidFill>
                  <a:latin typeface="Montserrat" panose="00000500000000000000" pitchFamily="2" charset="0"/>
                  <a:cs typeface="Calibri" panose="020F0502020204030204" pitchFamily="34" charset="0"/>
                </a:rPr>
                <a:t>(Mandatory field)</a:t>
              </a:r>
            </a:p>
            <a:p>
              <a:pPr marL="0" marR="0" lvl="0" indent="0" algn="l" defTabSz="914400" eaLnBrk="1" fontAlgn="auto" latinLnBrk="0" hangingPunct="1">
                <a:lnSpc>
                  <a:spcPct val="100000"/>
                </a:lnSpc>
                <a:spcBef>
                  <a:spcPts val="0"/>
                </a:spcBef>
                <a:spcAft>
                  <a:spcPts val="0"/>
                </a:spcAft>
                <a:buClrTx/>
                <a:buSzTx/>
                <a:buFontTx/>
                <a:buNone/>
                <a:tabLst/>
                <a:defRPr/>
              </a:pPr>
              <a:r>
                <a:rPr lang="en-GB" sz="1100" b="0" baseline="0">
                  <a:solidFill>
                    <a:schemeClr val="tx1"/>
                  </a:solidFill>
                  <a:effectLst/>
                  <a:latin typeface="Montserrat" panose="00000500000000000000" pitchFamily="2" charset="0"/>
                  <a:ea typeface="+mn-ea"/>
                  <a:cs typeface="+mn-cs"/>
                </a:rPr>
                <a:t>Select the feed name the feed use is reported for. The selection option is based on </a:t>
              </a:r>
              <a:r>
                <a:rPr lang="en-US" sz="1100" b="0" baseline="0">
                  <a:solidFill>
                    <a:schemeClr val="tx1"/>
                  </a:solidFill>
                  <a:effectLst/>
                  <a:latin typeface="Montserrat" panose="00000500000000000000" pitchFamily="2" charset="0"/>
                  <a:ea typeface="+mn-ea"/>
                  <a:cs typeface="+mn-cs"/>
                </a:rPr>
                <a:t>feed types provided in table 1.</a:t>
              </a:r>
              <a:endParaRPr lang="en-NL" sz="1100">
                <a:solidFill>
                  <a:schemeClr val="tx1"/>
                </a:solidFill>
                <a:effectLst/>
                <a:latin typeface="Montserrat" panose="00000500000000000000" pitchFamily="2" charset="0"/>
              </a:endParaRPr>
            </a:p>
            <a:p>
              <a:pPr marL="0" marR="0" indent="0" algn="l">
                <a:lnSpc>
                  <a:spcPct val="100000"/>
                </a:lnSpc>
                <a:spcBef>
                  <a:spcPts val="0"/>
                </a:spcBef>
                <a:spcAft>
                  <a:spcPts val="0"/>
                </a:spcAft>
              </a:pPr>
              <a:endParaRPr lang="en-US" sz="1100" b="1" i="0" u="none" strike="noStrike" baseline="0">
                <a:solidFill>
                  <a:srgbClr val="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rgbClr val="000000"/>
                  </a:solidFill>
                  <a:latin typeface="Montserrat" panose="00000500000000000000" pitchFamily="2" charset="0"/>
                  <a:cs typeface="Calibri" panose="020F0502020204030204" pitchFamily="34" charset="0"/>
                </a:rPr>
                <a:t>Feed use (tonnes)</a:t>
              </a:r>
              <a:r>
                <a:rPr lang="en-US" sz="1100" b="0" i="0" u="none" strike="noStrike" baseline="0">
                  <a:solidFill>
                    <a:srgbClr val="000000"/>
                  </a:solidFill>
                  <a:latin typeface="Montserrat" panose="00000500000000000000" pitchFamily="2" charset="0"/>
                  <a:cs typeface="Calibri" panose="020F0502020204030204" pitchFamily="34" charset="0"/>
                </a:rPr>
                <a:t> (Mandatory field)</a:t>
              </a:r>
            </a:p>
            <a:p>
              <a:pPr marL="0" marR="0" lvl="0" indent="0" algn="l" defTabSz="914400" eaLnBrk="1" fontAlgn="auto" latinLnBrk="0" hangingPunct="1">
                <a:lnSpc>
                  <a:spcPct val="100000"/>
                </a:lnSpc>
                <a:spcBef>
                  <a:spcPts val="0"/>
                </a:spcBef>
                <a:spcAft>
                  <a:spcPts val="0"/>
                </a:spcAft>
                <a:buClrTx/>
                <a:buSzTx/>
                <a:buFontTx/>
                <a:buNone/>
                <a:tabLst/>
                <a:defRPr/>
              </a:pPr>
              <a:r>
                <a:rPr lang="en-GB" sz="1100" b="0" i="0" baseline="0">
                  <a:solidFill>
                    <a:schemeClr val="tx1"/>
                  </a:solidFill>
                  <a:effectLst/>
                  <a:latin typeface="Montserrat" panose="00000500000000000000" pitchFamily="2" charset="0"/>
                  <a:ea typeface="+mn-ea"/>
                  <a:cs typeface="+mn-cs"/>
                </a:rPr>
                <a:t>Indicate for each feed type the amount of feed used during the production period. Feed use </a:t>
              </a:r>
              <a:r>
                <a:rPr lang="en-GB" sz="1100" b="0" baseline="0">
                  <a:solidFill>
                    <a:schemeClr val="tx1"/>
                  </a:solidFill>
                  <a:effectLst/>
                  <a:latin typeface="Montserrat" panose="00000500000000000000" pitchFamily="2" charset="0"/>
                  <a:ea typeface="+mn-ea"/>
                  <a:cs typeface="+mn-cs"/>
                </a:rPr>
                <a:t>is given in metric tonnes (1 tonne = 1000kg).</a:t>
              </a:r>
            </a:p>
            <a:p>
              <a:pPr marL="0" marR="0" lvl="0" indent="0" algn="l" defTabSz="914400" eaLnBrk="1" fontAlgn="auto" latinLnBrk="0" hangingPunct="1">
                <a:lnSpc>
                  <a:spcPct val="100000"/>
                </a:lnSpc>
                <a:spcBef>
                  <a:spcPts val="0"/>
                </a:spcBef>
                <a:spcAft>
                  <a:spcPts val="0"/>
                </a:spcAft>
                <a:buClrTx/>
                <a:buSzTx/>
                <a:buFontTx/>
                <a:buNone/>
                <a:tabLst/>
                <a:defRPr/>
              </a:pPr>
              <a:endParaRPr lang="en-GB" sz="1100" b="1" baseline="0">
                <a:solidFill>
                  <a:schemeClr val="tx1"/>
                </a:solidFill>
                <a:effectLst/>
                <a:latin typeface="Montserrat" panose="00000500000000000000" pitchFamily="2" charset="0"/>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a:solidFill>
                    <a:schemeClr val="tx1"/>
                  </a:solidFill>
                  <a:effectLst/>
                  <a:latin typeface="Montserrat" panose="00000500000000000000" pitchFamily="2" charset="0"/>
                </a:rPr>
                <a:t>Notes </a:t>
              </a:r>
              <a:r>
                <a:rPr lang="en-US" sz="1100">
                  <a:solidFill>
                    <a:schemeClr val="tx1"/>
                  </a:solidFill>
                  <a:effectLst/>
                  <a:latin typeface="Montserrat" panose="00000500000000000000" pitchFamily="2" charset="0"/>
                </a:rPr>
                <a:t>(Voluntary field)</a:t>
              </a:r>
            </a:p>
            <a:p>
              <a:pPr marL="0" marR="0" lvl="0" indent="0" algn="l" defTabSz="914400" eaLnBrk="1" fontAlgn="auto" latinLnBrk="0" hangingPunct="1">
                <a:lnSpc>
                  <a:spcPct val="100000"/>
                </a:lnSpc>
                <a:spcBef>
                  <a:spcPts val="0"/>
                </a:spcBef>
                <a:spcAft>
                  <a:spcPts val="0"/>
                </a:spcAft>
                <a:buClrTx/>
                <a:buSzTx/>
                <a:buFontTx/>
                <a:buNone/>
                <a:tabLst/>
                <a:defRPr/>
              </a:pPr>
              <a:r>
                <a:rPr lang="en-US" sz="1100">
                  <a:solidFill>
                    <a:schemeClr val="tx1"/>
                  </a:solidFill>
                  <a:effectLst/>
                  <a:latin typeface="Montserrat" panose="00000500000000000000" pitchFamily="2" charset="0"/>
                </a:rPr>
                <a:t>This field may be used to provide any other relevant information or clarifications.</a:t>
              </a:r>
              <a:endParaRPr lang="en-NL" sz="1100">
                <a:solidFill>
                  <a:schemeClr val="tx1"/>
                </a:solidFill>
                <a:effectLst/>
                <a:latin typeface="Montserrat" panose="00000500000000000000" pitchFamily="2" charset="0"/>
              </a:endParaRPr>
            </a:p>
            <a:p>
              <a:pPr marL="0" marR="0" indent="0" algn="l">
                <a:lnSpc>
                  <a:spcPct val="100000"/>
                </a:lnSpc>
                <a:spcBef>
                  <a:spcPts val="0"/>
                </a:spcBef>
                <a:spcAft>
                  <a:spcPts val="0"/>
                </a:spcAft>
              </a:pPr>
              <a:endParaRPr lang="en-US" sz="1100" b="1" i="0" u="none" strike="noStrike" baseline="0">
                <a:solidFill>
                  <a:srgbClr val="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sng" strike="noStrike" baseline="0">
                  <a:solidFill>
                    <a:schemeClr val="tx1"/>
                  </a:solidFill>
                  <a:latin typeface="Montserrat" panose="00000500000000000000" pitchFamily="2" charset="0"/>
                  <a:cs typeface="Calibri" panose="020F0502020204030204" pitchFamily="34" charset="0"/>
                </a:rPr>
                <a:t>TABLE 3. Species protein content</a:t>
              </a:r>
            </a:p>
            <a:p>
              <a:r>
                <a:rPr lang="en-GB" sz="1100" b="1">
                  <a:solidFill>
                    <a:schemeClr val="tx1"/>
                  </a:solidFill>
                  <a:effectLst/>
                  <a:latin typeface="Montserrat" panose="00000500000000000000" pitchFamily="2" charset="0"/>
                  <a:ea typeface="+mn-ea"/>
                  <a:cs typeface="+mn-cs"/>
                </a:rPr>
                <a:t>Species in production </a:t>
              </a:r>
              <a:r>
                <a:rPr lang="en-GB" sz="1100" b="0">
                  <a:solidFill>
                    <a:schemeClr val="tx1"/>
                  </a:solidFill>
                  <a:effectLst/>
                  <a:latin typeface="Montserrat" panose="00000500000000000000" pitchFamily="2" charset="0"/>
                  <a:ea typeface="+mn-ea"/>
                  <a:cs typeface="+mn-cs"/>
                </a:rPr>
                <a:t>(Autopopulated field)</a:t>
              </a:r>
            </a:p>
            <a:p>
              <a:pPr eaLnBrk="1" fontAlgn="auto" latinLnBrk="0" hangingPunct="1"/>
              <a:r>
                <a:rPr lang="en-GB" sz="1100" b="0" baseline="0">
                  <a:solidFill>
                    <a:schemeClr val="tx1"/>
                  </a:solidFill>
                  <a:effectLst/>
                  <a:latin typeface="Montserrat" panose="00000500000000000000" pitchFamily="2" charset="0"/>
                  <a:ea typeface="+mn-ea"/>
                  <a:cs typeface="+mn-cs"/>
                </a:rPr>
                <a:t>The species in production</a:t>
              </a:r>
              <a:r>
                <a:rPr lang="en-US" sz="1100" b="0" i="0">
                  <a:solidFill>
                    <a:schemeClr val="tx1"/>
                  </a:solidFill>
                  <a:effectLst/>
                  <a:latin typeface="Montserrat" panose="00000500000000000000" pitchFamily="2" charset="0"/>
                  <a:ea typeface="+mn-ea"/>
                  <a:cs typeface="+mn-cs"/>
                </a:rPr>
                <a:t> </a:t>
              </a:r>
              <a:r>
                <a:rPr lang="en-GB" sz="1100" b="0" baseline="0">
                  <a:solidFill>
                    <a:schemeClr val="tx1"/>
                  </a:solidFill>
                  <a:effectLst/>
                  <a:latin typeface="Montserrat" panose="00000500000000000000" pitchFamily="2" charset="0"/>
                  <a:ea typeface="+mn-ea"/>
                  <a:cs typeface="+mn-cs"/>
                </a:rPr>
                <a:t>is autopopulated from the 'Site and production details' tab.</a:t>
              </a:r>
              <a:endParaRPr lang="en-NL" sz="1100">
                <a:solidFill>
                  <a:schemeClr val="tx1"/>
                </a:solidFill>
                <a:effectLst/>
                <a:latin typeface="Montserrat" panose="00000500000000000000" pitchFamily="2" charset="0"/>
              </a:endParaRPr>
            </a:p>
            <a:p>
              <a:pPr marL="0" marR="0" indent="0" algn="l">
                <a:lnSpc>
                  <a:spcPct val="100000"/>
                </a:lnSpc>
                <a:spcBef>
                  <a:spcPts val="0"/>
                </a:spcBef>
                <a:spcAft>
                  <a:spcPts val="0"/>
                </a:spcAft>
              </a:pPr>
              <a:endParaRPr lang="en-US" sz="1100" b="1" i="0" u="none" strike="noStrike" baseline="0">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chemeClr val="tx1"/>
                  </a:solidFill>
                  <a:latin typeface="Montserrat" panose="00000500000000000000" pitchFamily="2" charset="0"/>
                  <a:cs typeface="Calibri" panose="020F0502020204030204" pitchFamily="34" charset="0"/>
                </a:rPr>
                <a:t>Animal protein content (%) </a:t>
              </a:r>
              <a:r>
                <a:rPr lang="en-US" sz="1100" b="0" i="0" u="none" strike="noStrike" baseline="0">
                  <a:solidFill>
                    <a:schemeClr val="tx1"/>
                  </a:solidFill>
                  <a:latin typeface="Montserrat" panose="00000500000000000000" pitchFamily="2" charset="0"/>
                  <a:cs typeface="Calibri" panose="020F0502020204030204" pitchFamily="34" charset="0"/>
                </a:rPr>
                <a:t>(Mandatory)</a:t>
              </a:r>
            </a:p>
            <a:p>
              <a:pPr marL="0" marR="0" indent="0" algn="l">
                <a:lnSpc>
                  <a:spcPct val="100000"/>
                </a:lnSpc>
                <a:spcBef>
                  <a:spcPts val="0"/>
                </a:spcBef>
                <a:spcAft>
                  <a:spcPts val="0"/>
                </a:spcAft>
              </a:pPr>
              <a:r>
                <a:rPr lang="en-US" sz="1100" b="0" i="0" u="none" strike="noStrike">
                  <a:solidFill>
                    <a:sysClr val="windowText" lastClr="000000"/>
                  </a:solidFill>
                  <a:latin typeface="Montserrat" panose="00000500000000000000" pitchFamily="2" charset="0"/>
                  <a:cs typeface="Calibri" panose="020F0502020204030204" pitchFamily="34" charset="0"/>
                </a:rPr>
                <a:t>Provide for each species in production the crude protein content of the whole animal</a:t>
              </a:r>
              <a:r>
                <a:rPr lang="en-US" sz="1100" b="0" i="0" u="none" strike="noStrike" baseline="0">
                  <a:solidFill>
                    <a:sysClr val="windowText" lastClr="000000"/>
                  </a:solidFill>
                  <a:latin typeface="Montserrat" panose="00000500000000000000" pitchFamily="2" charset="0"/>
                  <a:cs typeface="Calibri" panose="020F0502020204030204" pitchFamily="34" charset="0"/>
                </a:rPr>
                <a:t> (not only edible part) as percentage of the wet weight. </a:t>
              </a:r>
              <a:r>
                <a:rPr lang="en-US" sz="1100" b="0" i="0" baseline="0">
                  <a:solidFill>
                    <a:schemeClr val="tx1"/>
                  </a:solidFill>
                  <a:effectLst/>
                  <a:latin typeface="Montserrat" panose="00000500000000000000" pitchFamily="2" charset="0"/>
                  <a:ea typeface="+mn-ea"/>
                  <a:cs typeface="+mn-cs"/>
                </a:rPr>
                <a:t>T</a:t>
              </a:r>
              <a:r>
                <a:rPr lang="en-US" sz="1100" b="0" i="0" baseline="0">
                  <a:solidFill>
                    <a:sysClr val="windowText" lastClr="000000"/>
                  </a:solidFill>
                  <a:effectLst/>
                  <a:latin typeface="Montserrat" panose="00000500000000000000" pitchFamily="2" charset="0"/>
                  <a:ea typeface="+mn-ea"/>
                  <a:cs typeface="+mn-cs"/>
                </a:rPr>
                <a:t>he value should be between zero and a hundred (0-100). </a:t>
              </a:r>
            </a:p>
            <a:p>
              <a:r>
                <a:rPr lang="en-US" sz="1100" b="0" i="0" baseline="0">
                  <a:solidFill>
                    <a:sysClr val="windowText" lastClr="000000"/>
                  </a:solidFill>
                  <a:effectLst/>
                  <a:latin typeface="Montserrat" panose="00000500000000000000" pitchFamily="2" charset="0"/>
                  <a:ea typeface="+mn-ea"/>
                  <a:cs typeface="+mn-cs"/>
                </a:rPr>
                <a:t>In case no specific value is available a value of 21.9% for fish species and 18.6% for crustaceans can be used.</a:t>
              </a:r>
            </a:p>
            <a:p>
              <a:endParaRPr lang="en-US" sz="1100" b="0" i="0" baseline="0">
                <a:solidFill>
                  <a:sysClr val="windowText" lastClr="000000"/>
                </a:solidFill>
                <a:effectLst/>
                <a:latin typeface="Montserrat" panose="00000500000000000000" pitchFamily="2" charset="0"/>
                <a:ea typeface="+mn-ea"/>
                <a:cs typeface="+mn-cs"/>
              </a:endParaRPr>
            </a:p>
            <a:p>
              <a:pPr marL="0" marR="0" indent="0" algn="l">
                <a:lnSpc>
                  <a:spcPct val="100000"/>
                </a:lnSpc>
                <a:spcBef>
                  <a:spcPts val="0"/>
                </a:spcBef>
                <a:spcAft>
                  <a:spcPts val="0"/>
                </a:spcAft>
              </a:pPr>
              <a:r>
                <a:rPr lang="en-US" sz="1100" b="1" i="0" u="sng" strike="noStrike" baseline="0">
                  <a:solidFill>
                    <a:schemeClr val="tx1"/>
                  </a:solidFill>
                  <a:latin typeface="Montserrat" panose="00000500000000000000" pitchFamily="2" charset="0"/>
                  <a:cs typeface="Calibri" panose="020F0502020204030204" pitchFamily="34" charset="0"/>
                </a:rPr>
                <a:t>TABLE 4. Feed efficiencies per species</a:t>
              </a:r>
              <a:endParaRPr lang="en-GB" sz="1100" b="1">
                <a:solidFill>
                  <a:schemeClr val="tx1"/>
                </a:solidFill>
                <a:effectLst/>
                <a:latin typeface="Montserrat" panose="00000500000000000000" pitchFamily="2" charset="0"/>
                <a:ea typeface="+mn-ea"/>
                <a:cs typeface="+mn-cs"/>
              </a:endParaRPr>
            </a:p>
            <a:p>
              <a:r>
                <a:rPr lang="en-GB" sz="1100" b="1">
                  <a:solidFill>
                    <a:schemeClr val="tx1"/>
                  </a:solidFill>
                  <a:effectLst/>
                  <a:latin typeface="Montserrat" panose="00000500000000000000" pitchFamily="2" charset="0"/>
                  <a:ea typeface="+mn-ea"/>
                  <a:cs typeface="+mn-cs"/>
                </a:rPr>
                <a:t>Species in production </a:t>
              </a:r>
              <a:r>
                <a:rPr lang="en-GB" sz="1100" b="0">
                  <a:solidFill>
                    <a:schemeClr val="tx1"/>
                  </a:solidFill>
                  <a:effectLst/>
                  <a:latin typeface="Montserrat" panose="00000500000000000000" pitchFamily="2" charset="0"/>
                  <a:ea typeface="+mn-ea"/>
                  <a:cs typeface="+mn-cs"/>
                </a:rPr>
                <a:t>(Autopopulated field)</a:t>
              </a:r>
            </a:p>
            <a:p>
              <a:pPr eaLnBrk="1" fontAlgn="auto" latinLnBrk="0" hangingPunct="1"/>
              <a:r>
                <a:rPr lang="en-GB" sz="1100" b="0" baseline="0">
                  <a:solidFill>
                    <a:schemeClr val="tx1"/>
                  </a:solidFill>
                  <a:effectLst/>
                  <a:latin typeface="Montserrat" panose="00000500000000000000" pitchFamily="2" charset="0"/>
                  <a:ea typeface="+mn-ea"/>
                  <a:cs typeface="+mn-cs"/>
                </a:rPr>
                <a:t>The species in production</a:t>
              </a:r>
              <a:r>
                <a:rPr lang="en-US" sz="1100" b="0" i="0">
                  <a:solidFill>
                    <a:schemeClr val="tx1"/>
                  </a:solidFill>
                  <a:effectLst/>
                  <a:latin typeface="Montserrat" panose="00000500000000000000" pitchFamily="2" charset="0"/>
                  <a:ea typeface="+mn-ea"/>
                  <a:cs typeface="+mn-cs"/>
                </a:rPr>
                <a:t> </a:t>
              </a:r>
              <a:r>
                <a:rPr lang="en-GB" sz="1100" b="0" baseline="0">
                  <a:solidFill>
                    <a:schemeClr val="tx1"/>
                  </a:solidFill>
                  <a:effectLst/>
                  <a:latin typeface="Montserrat" panose="00000500000000000000" pitchFamily="2" charset="0"/>
                  <a:ea typeface="+mn-ea"/>
                  <a:cs typeface="+mn-cs"/>
                </a:rPr>
                <a:t>is autopopulated from the 'Site and production details' tab.</a:t>
              </a:r>
              <a:endParaRPr lang="en-NL" sz="1100">
                <a:solidFill>
                  <a:schemeClr val="tx1"/>
                </a:solidFill>
                <a:effectLst/>
                <a:latin typeface="Montserrat" panose="00000500000000000000" pitchFamily="2" charset="0"/>
              </a:endParaRPr>
            </a:p>
            <a:p>
              <a:pPr marL="0" marR="0" indent="0" algn="l">
                <a:lnSpc>
                  <a:spcPct val="100000"/>
                </a:lnSpc>
                <a:spcBef>
                  <a:spcPts val="0"/>
                </a:spcBef>
                <a:spcAft>
                  <a:spcPts val="0"/>
                </a:spcAft>
              </a:pPr>
              <a:endParaRPr lang="en-US" sz="1100" b="1" i="0" u="none" strike="noStrike" baseline="0">
                <a:solidFill>
                  <a:srgbClr val="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rgbClr val="000000"/>
                  </a:solidFill>
                  <a:latin typeface="Montserrat" panose="00000500000000000000" pitchFamily="2" charset="0"/>
                  <a:cs typeface="Calibri" panose="020F0502020204030204" pitchFamily="34" charset="0"/>
                </a:rPr>
                <a:t>ASC certified net production volume (tonnes) </a:t>
              </a:r>
              <a:r>
                <a:rPr lang="en-US" sz="1100" b="0" i="0" u="none" strike="noStrike" baseline="0">
                  <a:solidFill>
                    <a:srgbClr val="000000"/>
                  </a:solidFill>
                  <a:latin typeface="Montserrat" panose="00000500000000000000" pitchFamily="2" charset="0"/>
                  <a:cs typeface="Calibri" panose="020F0502020204030204" pitchFamily="34" charset="0"/>
                </a:rPr>
                <a:t>(Autopopulated field)</a:t>
              </a:r>
            </a:p>
            <a:p>
              <a:pPr eaLnBrk="1" fontAlgn="auto" latinLnBrk="0" hangingPunct="1"/>
              <a:r>
                <a:rPr lang="en-GB" sz="1100" b="0" baseline="0">
                  <a:solidFill>
                    <a:sysClr val="windowText" lastClr="000000"/>
                  </a:solidFill>
                  <a:effectLst/>
                  <a:latin typeface="Montserrat" panose="00000500000000000000" pitchFamily="2" charset="0"/>
                  <a:ea typeface="+mn-ea"/>
                  <a:cs typeface="+mn-cs"/>
                </a:rPr>
                <a:t>The </a:t>
              </a:r>
              <a:r>
                <a:rPr lang="en-US" sz="1100" b="0" i="0" baseline="0">
                  <a:solidFill>
                    <a:sysClr val="windowText" lastClr="000000"/>
                  </a:solidFill>
                  <a:effectLst/>
                  <a:latin typeface="Montserrat" panose="00000500000000000000" pitchFamily="2" charset="0"/>
                  <a:ea typeface="+mn-ea"/>
                  <a:cs typeface="+mn-cs"/>
                </a:rPr>
                <a:t>ASC certified net production volume </a:t>
              </a:r>
              <a:r>
                <a:rPr lang="en-GB" sz="1100" b="0" baseline="0">
                  <a:solidFill>
                    <a:sysClr val="windowText" lastClr="000000"/>
                  </a:solidFill>
                  <a:effectLst/>
                  <a:latin typeface="Montserrat" panose="00000500000000000000" pitchFamily="2" charset="0"/>
                  <a:ea typeface="+mn-ea"/>
                  <a:cs typeface="+mn-cs"/>
                </a:rPr>
                <a:t>is autopopulated from 'Site and production details' tab and </a:t>
              </a:r>
              <a:r>
                <a:rPr lang="en-US" sz="1100" b="0" baseline="0">
                  <a:solidFill>
                    <a:sysClr val="windowText" lastClr="000000"/>
                  </a:solidFill>
                  <a:effectLst/>
                  <a:latin typeface="Montserrat" panose="00000500000000000000" pitchFamily="2" charset="0"/>
                  <a:ea typeface="+mn-ea"/>
                  <a:cs typeface="+mn-cs"/>
                </a:rPr>
                <a:t>calculated automatically, based on ASC certified harvested, stocked and standing stock.</a:t>
              </a:r>
            </a:p>
            <a:p>
              <a:pPr marL="0" marR="0" indent="0" algn="l">
                <a:lnSpc>
                  <a:spcPct val="100000"/>
                </a:lnSpc>
                <a:spcBef>
                  <a:spcPts val="0"/>
                </a:spcBef>
                <a:spcAft>
                  <a:spcPts val="0"/>
                </a:spcAft>
              </a:pPr>
              <a:endParaRPr lang="en-US" sz="1100" b="0" i="0" u="none" strike="noStrike">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a:solidFill>
                    <a:schemeClr val="tx1"/>
                  </a:solidFill>
                  <a:latin typeface="Montserrat" panose="00000500000000000000" pitchFamily="2" charset="0"/>
                  <a:cs typeface="Calibri" panose="020F0502020204030204" pitchFamily="34" charset="0"/>
                </a:rPr>
                <a:t>eFCR</a:t>
              </a:r>
              <a:r>
                <a:rPr lang="en-US" sz="1100" b="0" i="0" u="none" strike="noStrike">
                  <a:solidFill>
                    <a:schemeClr val="tx1"/>
                  </a:solidFill>
                  <a:latin typeface="Montserrat" panose="00000500000000000000" pitchFamily="2" charset="0"/>
                  <a:cs typeface="Calibri" panose="020F0502020204030204" pitchFamily="34" charset="0"/>
                </a:rPr>
                <a:t> (Calculated field)</a:t>
              </a:r>
            </a:p>
            <a:p>
              <a:pPr marL="0" marR="0" indent="0" algn="l">
                <a:lnSpc>
                  <a:spcPct val="100000"/>
                </a:lnSpc>
                <a:spcBef>
                  <a:spcPts val="0"/>
                </a:spcBef>
                <a:spcAft>
                  <a:spcPts val="0"/>
                </a:spcAft>
              </a:pPr>
              <a:r>
                <a:rPr lang="en-US" sz="1100" b="0" i="0" baseline="0">
                  <a:solidFill>
                    <a:schemeClr val="tx1"/>
                  </a:solidFill>
                  <a:effectLst/>
                  <a:latin typeface="Montserrat" panose="00000500000000000000" pitchFamily="2" charset="0"/>
                  <a:ea typeface="+mn-ea"/>
                  <a:cs typeface="+mn-cs"/>
                </a:rPr>
                <a:t>The eFCR here is automatically calculated for each species and site combination as the total volume of feed used per species from table 2, divided by the net production volume and is calculated as follows:</a:t>
              </a:r>
              <a:endParaRPr lang="en-US" sz="1100" b="0" i="0" u="none" strike="noStrike">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endParaRPr lang="en-US" sz="1100" b="0" i="0" u="none" strike="noStrike">
                <a:solidFill>
                  <a:schemeClr val="tx1"/>
                </a:solidFill>
                <a:latin typeface="Montserrat" panose="00000500000000000000" pitchFamily="2" charset="0"/>
                <a:cs typeface="Calibri" panose="020F0502020204030204" pitchFamily="34" charset="0"/>
              </a:endParaRPr>
            </a:p>
            <a:p>
              <a:r>
                <a:rPr lang="en-GB" sz="1100">
                  <a:solidFill>
                    <a:sysClr val="windowText" lastClr="000000"/>
                  </a:solidFill>
                  <a:effectLst/>
                  <a:latin typeface="Montserrat" pitchFamily="2" charset="0"/>
                  <a:ea typeface="+mn-ea"/>
                  <a:cs typeface="+mn-cs"/>
                </a:rPr>
                <a:t>	</a:t>
              </a:r>
              <a14:m>
                <m:oMath xmlns:m="http://schemas.openxmlformats.org/officeDocument/2006/math">
                  <m:r>
                    <a:rPr lang="en-GB" sz="1100" i="1">
                      <a:solidFill>
                        <a:sysClr val="windowText" lastClr="000000"/>
                      </a:solidFill>
                      <a:effectLst/>
                      <a:latin typeface="Cambria Math" panose="02040503050406030204" pitchFamily="18" charset="0"/>
                      <a:ea typeface="+mn-ea"/>
                      <a:cs typeface="+mn-cs"/>
                    </a:rPr>
                    <m:t>𝑒𝐹𝐶𝑅</m:t>
                  </m:r>
                  <m:r>
                    <a:rPr lang="en-GB" sz="1100" i="1">
                      <a:solidFill>
                        <a:sysClr val="windowText" lastClr="000000"/>
                      </a:solidFill>
                      <a:effectLst/>
                      <a:latin typeface="Cambria Math" panose="02040503050406030204" pitchFamily="18" charset="0"/>
                      <a:ea typeface="+mn-ea"/>
                      <a:cs typeface="+mn-cs"/>
                    </a:rPr>
                    <m:t>=</m:t>
                  </m:r>
                  <m:f>
                    <m:fPr>
                      <m:ctrlPr>
                        <a:rPr lang="en-NL" sz="1100" i="1">
                          <a:solidFill>
                            <a:sysClr val="windowText" lastClr="000000"/>
                          </a:solidFill>
                          <a:effectLst/>
                          <a:latin typeface="Cambria Math" panose="02040503050406030204" pitchFamily="18" charset="0"/>
                          <a:ea typeface="+mn-ea"/>
                          <a:cs typeface="+mn-cs"/>
                        </a:rPr>
                      </m:ctrlPr>
                    </m:fPr>
                    <m:num>
                      <m:r>
                        <a:rPr lang="en-GB" sz="1100" i="1">
                          <a:solidFill>
                            <a:sysClr val="windowText" lastClr="000000"/>
                          </a:solidFill>
                          <a:effectLst/>
                          <a:latin typeface="Cambria Math" panose="02040503050406030204" pitchFamily="18" charset="0"/>
                          <a:ea typeface="+mn-ea"/>
                          <a:cs typeface="+mn-cs"/>
                        </a:rPr>
                        <m:t>𝑡𝑜𝑡𝑎𝑙</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𝑓𝑒𝑒𝑑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𝑢𝑠𝑒</m:t>
                      </m:r>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num>
                    <m:den>
                      <m:r>
                        <a:rPr lang="en-GB" sz="1100" i="1">
                          <a:solidFill>
                            <a:sysClr val="windowText" lastClr="000000"/>
                          </a:solidFill>
                          <a:effectLst/>
                          <a:latin typeface="Cambria Math" panose="02040503050406030204" pitchFamily="18" charset="0"/>
                          <a:ea typeface="+mn-ea"/>
                          <a:cs typeface="+mn-cs"/>
                        </a:rPr>
                        <m:t>𝑛𝑒𝑡</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𝑝𝑟𝑜𝑑𝑢𝑐𝑡𝑖𝑜𝑛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𝑣𝑜𝑙𝑢𝑚𝑒</m:t>
                      </m:r>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den>
                  </m:f>
                </m:oMath>
              </a14:m>
              <a:endParaRPr lang="en-US" sz="1100" b="1" i="0">
                <a:solidFill>
                  <a:sysClr val="windowText" lastClr="000000"/>
                </a:solidFill>
                <a:effectLst/>
                <a:latin typeface="Montserrat" panose="00000500000000000000" pitchFamily="2" charset="0"/>
                <a:ea typeface="+mn-ea"/>
                <a:cs typeface="+mn-cs"/>
              </a:endParaRPr>
            </a:p>
            <a:p>
              <a:endParaRPr lang="en-US" sz="1100" b="1" i="0">
                <a:solidFill>
                  <a:schemeClr val="tx1"/>
                </a:solidFill>
                <a:effectLst/>
                <a:latin typeface="Montserrat" panose="00000500000000000000" pitchFamily="2" charset="0"/>
                <a:ea typeface="+mn-ea"/>
                <a:cs typeface="+mn-cs"/>
              </a:endParaRPr>
            </a:p>
            <a:p>
              <a:r>
                <a:rPr lang="en-US" sz="1100" b="1" i="0">
                  <a:solidFill>
                    <a:schemeClr val="tx1"/>
                  </a:solidFill>
                  <a:effectLst/>
                  <a:latin typeface="Montserrat" panose="00000500000000000000" pitchFamily="2" charset="0"/>
                  <a:ea typeface="+mn-ea"/>
                  <a:cs typeface="+mn-cs"/>
                </a:rPr>
                <a:t>PRE (%) </a:t>
              </a:r>
              <a:r>
                <a:rPr lang="en-US" sz="1100" b="0" i="0">
                  <a:solidFill>
                    <a:schemeClr val="tx1"/>
                  </a:solidFill>
                  <a:effectLst/>
                  <a:latin typeface="Montserrat" panose="00000500000000000000" pitchFamily="2" charset="0"/>
                  <a:ea typeface="+mn-ea"/>
                  <a:cs typeface="+mn-cs"/>
                </a:rPr>
                <a:t>(Calculated field)</a:t>
              </a:r>
            </a:p>
            <a:p>
              <a:r>
                <a:rPr lang="en-US" sz="1100" b="0" i="0">
                  <a:solidFill>
                    <a:schemeClr val="tx1"/>
                  </a:solidFill>
                  <a:effectLst/>
                  <a:latin typeface="Montserrat" panose="00000500000000000000" pitchFamily="2" charset="0"/>
                  <a:ea typeface="+mn-ea"/>
                  <a:cs typeface="+mn-cs"/>
                </a:rPr>
                <a:t>The protein retention efficiency (PRE) is automatically calculated for each species and site combination. The calculations of PRE is a weighted average and takes into account differences in protein content between the used feed types</a:t>
              </a:r>
              <a:r>
                <a:rPr lang="en-US" sz="1100" b="0" i="0" baseline="0">
                  <a:solidFill>
                    <a:schemeClr val="tx1"/>
                  </a:solidFill>
                  <a:effectLst/>
                  <a:latin typeface="Montserrat" panose="00000500000000000000" pitchFamily="2" charset="0"/>
                  <a:ea typeface="+mn-ea"/>
                  <a:cs typeface="+mn-cs"/>
                </a:rPr>
                <a:t> and is calculated as follows:</a:t>
              </a:r>
              <a:endParaRPr lang="en-US" sz="1100" b="0" i="0">
                <a:solidFill>
                  <a:schemeClr val="tx1"/>
                </a:solidFill>
                <a:effectLst/>
                <a:latin typeface="Montserrat" panose="00000500000000000000" pitchFamily="2" charset="0"/>
                <a:ea typeface="+mn-ea"/>
                <a:cs typeface="+mn-cs"/>
              </a:endParaRPr>
            </a:p>
            <a:p>
              <a:endParaRPr lang="en-US" sz="1100" b="1" i="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14:m>
                <m:oMath xmlns:m="http://schemas.openxmlformats.org/officeDocument/2006/math">
                  <m:r>
                    <a:rPr lang="en-GB" sz="1100" i="1">
                      <a:solidFill>
                        <a:sysClr val="windowText" lastClr="000000"/>
                      </a:solidFill>
                      <a:effectLst/>
                      <a:latin typeface="Cambria Math" panose="02040503050406030204" pitchFamily="18" charset="0"/>
                      <a:ea typeface="+mn-ea"/>
                      <a:cs typeface="+mn-cs"/>
                    </a:rPr>
                    <m:t>𝑃𝑅𝐸</m:t>
                  </m:r>
                  <m:r>
                    <a:rPr lang="en-GB" sz="1100" i="1">
                      <a:solidFill>
                        <a:sysClr val="windowText" lastClr="000000"/>
                      </a:solidFill>
                      <a:effectLst/>
                      <a:latin typeface="Cambria Math" panose="02040503050406030204" pitchFamily="18" charset="0"/>
                      <a:ea typeface="+mn-ea"/>
                      <a:cs typeface="+mn-cs"/>
                    </a:rPr>
                    <m:t> % =</m:t>
                  </m:r>
                  <m:f>
                    <m:fPr>
                      <m:ctrlPr>
                        <a:rPr lang="en-NL" sz="1100" i="1">
                          <a:solidFill>
                            <a:sysClr val="windowText" lastClr="000000"/>
                          </a:solidFill>
                          <a:effectLst/>
                          <a:latin typeface="Cambria Math" panose="02040503050406030204" pitchFamily="18" charset="0"/>
                          <a:ea typeface="+mn-ea"/>
                          <a:cs typeface="+mn-cs"/>
                        </a:rPr>
                      </m:ctrlPr>
                    </m:fPr>
                    <m:num>
                      <m:r>
                        <a:rPr lang="en-GB" sz="1100" i="1">
                          <a:solidFill>
                            <a:sysClr val="windowText" lastClr="000000"/>
                          </a:solidFill>
                          <a:effectLst/>
                          <a:latin typeface="Cambria Math" panose="02040503050406030204" pitchFamily="18" charset="0"/>
                          <a:ea typeface="+mn-ea"/>
                          <a:cs typeface="+mn-cs"/>
                        </a:rPr>
                        <m:t>𝑛𝑒𝑡</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𝑎𝑛𝑖𝑚𝑎𝑙</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𝑝𝑟𝑜𝑡𝑒𝑖𝑛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𝑐𝑜𝑛𝑡𝑒𝑛𝑡</m:t>
                      </m:r>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num>
                    <m:den>
                      <m:r>
                        <a:rPr lang="en-GB" sz="1100" i="1">
                          <a:solidFill>
                            <a:sysClr val="windowText" lastClr="000000"/>
                          </a:solidFill>
                          <a:effectLst/>
                          <a:latin typeface="Cambria Math" panose="02040503050406030204" pitchFamily="18" charset="0"/>
                          <a:ea typeface="+mn-ea"/>
                          <a:cs typeface="+mn-cs"/>
                        </a:rPr>
                        <m:t>𝑝𝑟𝑜𝑡𝑒𝑖𝑛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𝑓𝑒𝑑</m:t>
                      </m:r>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den>
                  </m:f>
                  <m:r>
                    <a:rPr lang="en-GB" sz="1100" i="1">
                      <a:solidFill>
                        <a:sysClr val="windowText" lastClr="000000"/>
                      </a:solidFill>
                      <a:effectLst/>
                      <a:latin typeface="Cambria Math" panose="02040503050406030204" pitchFamily="18" charset="0"/>
                      <a:ea typeface="+mn-ea"/>
                      <a:cs typeface="+mn-cs"/>
                    </a:rPr>
                    <m:t>∗100</m:t>
                  </m:r>
                </m:oMath>
              </a14:m>
              <a:endParaRPr lang="en-US" sz="1100" b="1" i="0">
                <a:solidFill>
                  <a:sysClr val="windowText" lastClr="000000"/>
                </a:solidFill>
                <a:effectLst/>
                <a:latin typeface="Montserrat" panose="00000500000000000000" pitchFamily="2" charset="0"/>
                <a:ea typeface="+mn-ea"/>
                <a:cs typeface="+mn-cs"/>
              </a:endParaRPr>
            </a:p>
            <a:p>
              <a:endParaRPr lang="en-US" sz="1100" b="1" i="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anose="00000500000000000000" pitchFamily="2" charset="0"/>
                  <a:ea typeface="+mn-ea"/>
                  <a:cs typeface="+mn-cs"/>
                </a:rPr>
                <a:t>where the weighted protein fed is calculated taking into account the feed use and feed protein content of each feed type used and is calculated as follows:</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r>
                <a:rPr lang="en-GB" sz="1100" baseline="0">
                  <a:solidFill>
                    <a:sysClr val="windowText" lastClr="000000"/>
                  </a:solidFill>
                  <a:effectLst/>
                  <a:latin typeface="Montserrat" pitchFamily="2" charset="0"/>
                  <a:ea typeface="+mn-ea"/>
                  <a:cs typeface="+mn-cs"/>
                </a:rPr>
                <a:t>                     </a:t>
              </a:r>
              <a14:m>
                <m:oMath xmlns:m="http://schemas.openxmlformats.org/officeDocument/2006/math">
                  <m:r>
                    <a:rPr lang="en-GB" sz="1100">
                      <a:solidFill>
                        <a:sysClr val="windowText" lastClr="000000"/>
                      </a:solidFill>
                      <a:effectLst/>
                      <a:latin typeface="Cambria Math" panose="02040503050406030204" pitchFamily="18" charset="0"/>
                      <a:ea typeface="+mn-ea"/>
                      <a:cs typeface="+mn-cs"/>
                    </a:rPr>
                    <m:t>𝑝𝑟𝑜𝑡𝑒𝑖𝑛</m:t>
                  </m:r>
                  <m:r>
                    <a:rPr lang="en-GB" sz="110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𝑓𝑒𝑑</m:t>
                  </m:r>
                  <m:r>
                    <a:rPr lang="en-GB" sz="1100">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a:solidFill>
                            <a:sysClr val="windowText" lastClr="000000"/>
                          </a:solidFill>
                          <a:effectLst/>
                          <a:latin typeface="Cambria Math" panose="02040503050406030204" pitchFamily="18" charset="0"/>
                          <a:ea typeface="+mn-ea"/>
                          <a:cs typeface="+mn-cs"/>
                        </a:rPr>
                        <m:t>𝑡𝑜𝑛𝑛𝑒𝑠</m:t>
                      </m:r>
                    </m:e>
                  </m:d>
                  <m:r>
                    <a:rPr lang="en-GB" sz="1100">
                      <a:solidFill>
                        <a:sysClr val="windowText" lastClr="000000"/>
                      </a:solidFill>
                      <a:effectLst/>
                      <a:latin typeface="Cambria Math" panose="02040503050406030204" pitchFamily="18" charset="0"/>
                      <a:ea typeface="+mn-ea"/>
                      <a:cs typeface="+mn-cs"/>
                    </a:rPr>
                    <m:t>=  </m:t>
                  </m:r>
                  <m:f>
                    <m:fPr>
                      <m:ctrlPr>
                        <a:rPr lang="en-NL" sz="1100" i="1">
                          <a:solidFill>
                            <a:sysClr val="windowText" lastClr="000000"/>
                          </a:solidFill>
                          <a:effectLst/>
                          <a:latin typeface="Cambria Math" panose="02040503050406030204" pitchFamily="18" charset="0"/>
                          <a:ea typeface="+mn-ea"/>
                          <a:cs typeface="+mn-cs"/>
                        </a:rPr>
                      </m:ctrlPr>
                    </m:fPr>
                    <m:num>
                      <m:r>
                        <a:rPr lang="en-GB" sz="1100">
                          <a:solidFill>
                            <a:sysClr val="windowText" lastClr="000000"/>
                          </a:solidFill>
                          <a:effectLst/>
                          <a:latin typeface="Cambria Math" panose="02040503050406030204" pitchFamily="18" charset="0"/>
                          <a:ea typeface="+mn-ea"/>
                          <a:cs typeface="+mn-cs"/>
                        </a:rPr>
                        <m:t>𝑓𝑒𝑒𝑑</m:t>
                      </m:r>
                      <m:r>
                        <a:rPr lang="en-GB" sz="110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𝑢𝑠</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a:solidFill>
                                <a:sysClr val="windowText" lastClr="000000"/>
                              </a:solidFill>
                              <a:effectLst/>
                              <a:latin typeface="Cambria Math" panose="02040503050406030204" pitchFamily="18" charset="0"/>
                              <a:ea typeface="+mn-ea"/>
                              <a:cs typeface="+mn-cs"/>
                            </a:rPr>
                            <m:t>𝑒</m:t>
                          </m:r>
                        </m:e>
                        <m:sub>
                          <m:r>
                            <a:rPr lang="en-GB" sz="1100">
                              <a:solidFill>
                                <a:sysClr val="windowText" lastClr="000000"/>
                              </a:solidFill>
                              <a:effectLst/>
                              <a:latin typeface="Cambria Math" panose="02040503050406030204" pitchFamily="18" charset="0"/>
                              <a:ea typeface="+mn-ea"/>
                              <a:cs typeface="+mn-cs"/>
                            </a:rPr>
                            <m:t>𝑡𝑦𝑝𝑒</m:t>
                          </m:r>
                          <m:r>
                            <a:rPr lang="en-GB" sz="1100">
                              <a:solidFill>
                                <a:sysClr val="windowText" lastClr="000000"/>
                              </a:solidFill>
                              <a:effectLst/>
                              <a:latin typeface="Cambria Math" panose="02040503050406030204" pitchFamily="18" charset="0"/>
                              <a:ea typeface="+mn-ea"/>
                              <a:cs typeface="+mn-cs"/>
                            </a:rPr>
                            <m:t> 1</m:t>
                          </m:r>
                        </m:sub>
                      </m:sSub>
                      <m:d>
                        <m:dPr>
                          <m:ctrlPr>
                            <a:rPr lang="en-NL" sz="1100" i="1">
                              <a:solidFill>
                                <a:sysClr val="windowText" lastClr="000000"/>
                              </a:solidFill>
                              <a:effectLst/>
                              <a:latin typeface="Cambria Math" panose="02040503050406030204" pitchFamily="18" charset="0"/>
                              <a:ea typeface="+mn-ea"/>
                              <a:cs typeface="+mn-cs"/>
                            </a:rPr>
                          </m:ctrlPr>
                        </m:dPr>
                        <m:e>
                          <m:r>
                            <a:rPr lang="en-GB" sz="1100">
                              <a:solidFill>
                                <a:sysClr val="windowText" lastClr="000000"/>
                              </a:solidFill>
                              <a:effectLst/>
                              <a:latin typeface="Cambria Math" panose="02040503050406030204" pitchFamily="18" charset="0"/>
                              <a:ea typeface="+mn-ea"/>
                              <a:cs typeface="+mn-cs"/>
                            </a:rPr>
                            <m:t>𝑡𝑜𝑛𝑛𝑒𝑠</m:t>
                          </m:r>
                        </m:e>
                      </m:d>
                      <m:r>
                        <a:rPr lang="de-DE" sz="1100" b="0" i="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m:t>
                      </m:r>
                      <m:r>
                        <a:rPr lang="de-DE" sz="1100" b="0" i="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𝑝𝑟𝑜𝑡𝑒𝑖𝑛</m:t>
                      </m:r>
                      <m:r>
                        <a:rPr lang="en-GB" sz="110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𝑐𝑜𝑛𝑡𝑒𝑛</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a:solidFill>
                                <a:sysClr val="windowText" lastClr="000000"/>
                              </a:solidFill>
                              <a:effectLst/>
                              <a:latin typeface="Cambria Math" panose="02040503050406030204" pitchFamily="18" charset="0"/>
                              <a:ea typeface="+mn-ea"/>
                              <a:cs typeface="+mn-cs"/>
                            </a:rPr>
                            <m:t>𝑡</m:t>
                          </m:r>
                        </m:e>
                        <m:sub>
                          <m:r>
                            <a:rPr lang="en-GB" sz="1100">
                              <a:solidFill>
                                <a:sysClr val="windowText" lastClr="000000"/>
                              </a:solidFill>
                              <a:effectLst/>
                              <a:latin typeface="Cambria Math" panose="02040503050406030204" pitchFamily="18" charset="0"/>
                              <a:ea typeface="+mn-ea"/>
                              <a:cs typeface="+mn-cs"/>
                            </a:rPr>
                            <m:t>𝑡𝑦𝑝𝑒</m:t>
                          </m:r>
                          <m:r>
                            <a:rPr lang="en-GB" sz="1100">
                              <a:solidFill>
                                <a:sysClr val="windowText" lastClr="000000"/>
                              </a:solidFill>
                              <a:effectLst/>
                              <a:latin typeface="Cambria Math" panose="02040503050406030204" pitchFamily="18" charset="0"/>
                              <a:ea typeface="+mn-ea"/>
                              <a:cs typeface="+mn-cs"/>
                            </a:rPr>
                            <m:t> 1</m:t>
                          </m:r>
                        </m:sub>
                      </m:sSub>
                      <m:r>
                        <a:rPr lang="en-GB" sz="1100">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a:solidFill>
                                <a:sysClr val="windowText" lastClr="000000"/>
                              </a:solidFill>
                              <a:effectLst/>
                              <a:latin typeface="Cambria Math" panose="02040503050406030204" pitchFamily="18" charset="0"/>
                              <a:ea typeface="+mn-ea"/>
                              <a:cs typeface="+mn-cs"/>
                            </a:rPr>
                            <m:t>%</m:t>
                          </m:r>
                        </m:e>
                      </m:d>
                      <m:r>
                        <a:rPr lang="en-GB" sz="1100">
                          <a:solidFill>
                            <a:sysClr val="windowText" lastClr="000000"/>
                          </a:solidFill>
                          <a:effectLst/>
                          <a:latin typeface="Cambria Math" panose="02040503050406030204" pitchFamily="18" charset="0"/>
                          <a:ea typeface="+mn-ea"/>
                          <a:cs typeface="+mn-cs"/>
                        </a:rPr>
                        <m:t> </m:t>
                      </m:r>
                    </m:num>
                    <m:den>
                      <m:r>
                        <a:rPr lang="en-GB" sz="1100">
                          <a:solidFill>
                            <a:sysClr val="windowText" lastClr="000000"/>
                          </a:solidFill>
                          <a:effectLst/>
                          <a:latin typeface="Cambria Math" panose="02040503050406030204" pitchFamily="18" charset="0"/>
                          <a:ea typeface="+mn-ea"/>
                          <a:cs typeface="+mn-cs"/>
                        </a:rPr>
                        <m:t>100</m:t>
                      </m:r>
                    </m:den>
                  </m:f>
                  <m:r>
                    <a:rPr lang="nl-NL" sz="1100" b="0" i="0">
                      <a:solidFill>
                        <a:sysClr val="windowText" lastClr="000000"/>
                      </a:solidFill>
                      <a:effectLst/>
                      <a:latin typeface="Cambria Math" panose="02040503050406030204" pitchFamily="18" charset="0"/>
                      <a:ea typeface="+mn-ea"/>
                      <a:cs typeface="+mn-cs"/>
                    </a:rPr>
                    <m:t> + </m:t>
                  </m:r>
                  <m:f>
                    <m:fPr>
                      <m:ctrlPr>
                        <a:rPr lang="en-NL" sz="1100" i="1">
                          <a:solidFill>
                            <a:sysClr val="windowText" lastClr="000000"/>
                          </a:solidFill>
                          <a:effectLst/>
                          <a:latin typeface="Cambria Math" panose="02040503050406030204" pitchFamily="18" charset="0"/>
                          <a:ea typeface="+mn-ea"/>
                          <a:cs typeface="+mn-cs"/>
                        </a:rPr>
                      </m:ctrlPr>
                    </m:fPr>
                    <m:num>
                      <m:r>
                        <a:rPr lang="en-GB" sz="1100">
                          <a:solidFill>
                            <a:sysClr val="windowText" lastClr="000000"/>
                          </a:solidFill>
                          <a:effectLst/>
                          <a:latin typeface="Cambria Math" panose="02040503050406030204" pitchFamily="18" charset="0"/>
                          <a:ea typeface="+mn-ea"/>
                          <a:cs typeface="+mn-cs"/>
                        </a:rPr>
                        <m:t>𝑓𝑒𝑒𝑑</m:t>
                      </m:r>
                      <m:r>
                        <a:rPr lang="en-GB" sz="110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𝑢𝑠</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a:solidFill>
                                <a:sysClr val="windowText" lastClr="000000"/>
                              </a:solidFill>
                              <a:effectLst/>
                              <a:latin typeface="Cambria Math" panose="02040503050406030204" pitchFamily="18" charset="0"/>
                              <a:ea typeface="+mn-ea"/>
                              <a:cs typeface="+mn-cs"/>
                            </a:rPr>
                            <m:t>𝑒</m:t>
                          </m:r>
                        </m:e>
                        <m:sub>
                          <m:r>
                            <a:rPr lang="en-GB" sz="1100">
                              <a:solidFill>
                                <a:sysClr val="windowText" lastClr="000000"/>
                              </a:solidFill>
                              <a:effectLst/>
                              <a:latin typeface="Cambria Math" panose="02040503050406030204" pitchFamily="18" charset="0"/>
                              <a:ea typeface="+mn-ea"/>
                              <a:cs typeface="+mn-cs"/>
                            </a:rPr>
                            <m:t>𝑡𝑦𝑝𝑒</m:t>
                          </m:r>
                          <m:r>
                            <a:rPr lang="en-GB" sz="1100">
                              <a:solidFill>
                                <a:sysClr val="windowText" lastClr="000000"/>
                              </a:solidFill>
                              <a:effectLst/>
                              <a:latin typeface="Cambria Math" panose="02040503050406030204" pitchFamily="18" charset="0"/>
                              <a:ea typeface="+mn-ea"/>
                              <a:cs typeface="+mn-cs"/>
                            </a:rPr>
                            <m:t> 2</m:t>
                          </m:r>
                        </m:sub>
                      </m:sSub>
                      <m:d>
                        <m:dPr>
                          <m:ctrlPr>
                            <a:rPr lang="en-NL" sz="1100" i="1">
                              <a:solidFill>
                                <a:sysClr val="windowText" lastClr="000000"/>
                              </a:solidFill>
                              <a:effectLst/>
                              <a:latin typeface="Cambria Math" panose="02040503050406030204" pitchFamily="18" charset="0"/>
                              <a:ea typeface="+mn-ea"/>
                              <a:cs typeface="+mn-cs"/>
                            </a:rPr>
                          </m:ctrlPr>
                        </m:dPr>
                        <m:e>
                          <m:r>
                            <a:rPr lang="en-GB" sz="1100">
                              <a:solidFill>
                                <a:sysClr val="windowText" lastClr="000000"/>
                              </a:solidFill>
                              <a:effectLst/>
                              <a:latin typeface="Cambria Math" panose="02040503050406030204" pitchFamily="18" charset="0"/>
                              <a:ea typeface="+mn-ea"/>
                              <a:cs typeface="+mn-cs"/>
                            </a:rPr>
                            <m:t>𝑡𝑜𝑛𝑛𝑒𝑠</m:t>
                          </m:r>
                        </m:e>
                      </m:d>
                      <m:r>
                        <a:rPr lang="de-DE" sz="1100" b="0" i="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m:t>
                      </m:r>
                      <m:r>
                        <a:rPr lang="de-DE" sz="1100" b="0" i="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𝑝𝑟𝑜𝑡𝑒𝑖𝑛</m:t>
                      </m:r>
                      <m:r>
                        <a:rPr lang="en-GB" sz="110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𝑐𝑜𝑛𝑡𝑒𝑛</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a:solidFill>
                                <a:sysClr val="windowText" lastClr="000000"/>
                              </a:solidFill>
                              <a:effectLst/>
                              <a:latin typeface="Cambria Math" panose="02040503050406030204" pitchFamily="18" charset="0"/>
                              <a:ea typeface="+mn-ea"/>
                              <a:cs typeface="+mn-cs"/>
                            </a:rPr>
                            <m:t>𝑡</m:t>
                          </m:r>
                        </m:e>
                        <m:sub>
                          <m:r>
                            <a:rPr lang="en-GB" sz="1100">
                              <a:solidFill>
                                <a:sysClr val="windowText" lastClr="000000"/>
                              </a:solidFill>
                              <a:effectLst/>
                              <a:latin typeface="Cambria Math" panose="02040503050406030204" pitchFamily="18" charset="0"/>
                              <a:ea typeface="+mn-ea"/>
                              <a:cs typeface="+mn-cs"/>
                            </a:rPr>
                            <m:t>𝑡𝑦𝑝𝑒</m:t>
                          </m:r>
                          <m:r>
                            <a:rPr lang="en-GB" sz="1100">
                              <a:solidFill>
                                <a:sysClr val="windowText" lastClr="000000"/>
                              </a:solidFill>
                              <a:effectLst/>
                              <a:latin typeface="Cambria Math" panose="02040503050406030204" pitchFamily="18" charset="0"/>
                              <a:ea typeface="+mn-ea"/>
                              <a:cs typeface="+mn-cs"/>
                            </a:rPr>
                            <m:t> 2</m:t>
                          </m:r>
                        </m:sub>
                      </m:sSub>
                      <m:r>
                        <a:rPr lang="en-GB" sz="1100">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a:solidFill>
                                <a:sysClr val="windowText" lastClr="000000"/>
                              </a:solidFill>
                              <a:effectLst/>
                              <a:latin typeface="Cambria Math" panose="02040503050406030204" pitchFamily="18" charset="0"/>
                              <a:ea typeface="+mn-ea"/>
                              <a:cs typeface="+mn-cs"/>
                            </a:rPr>
                            <m:t>%</m:t>
                          </m:r>
                        </m:e>
                      </m:d>
                      <m:r>
                        <a:rPr lang="en-GB" sz="1100">
                          <a:solidFill>
                            <a:sysClr val="windowText" lastClr="000000"/>
                          </a:solidFill>
                          <a:effectLst/>
                          <a:latin typeface="Cambria Math" panose="02040503050406030204" pitchFamily="18" charset="0"/>
                          <a:ea typeface="+mn-ea"/>
                          <a:cs typeface="+mn-cs"/>
                        </a:rPr>
                        <m:t> </m:t>
                      </m:r>
                    </m:num>
                    <m:den>
                      <m:r>
                        <a:rPr lang="en-GB" sz="1100">
                          <a:solidFill>
                            <a:sysClr val="windowText" lastClr="000000"/>
                          </a:solidFill>
                          <a:effectLst/>
                          <a:latin typeface="Cambria Math" panose="02040503050406030204" pitchFamily="18" charset="0"/>
                          <a:ea typeface="+mn-ea"/>
                          <a:cs typeface="+mn-cs"/>
                        </a:rPr>
                        <m:t>100</m:t>
                      </m:r>
                    </m:den>
                  </m:f>
                </m:oMath>
              </a14:m>
              <a:r>
                <a:rPr lang="en-US" sz="1100">
                  <a:solidFill>
                    <a:sysClr val="windowText" lastClr="000000"/>
                  </a:solidFill>
                  <a:effectLst/>
                  <a:latin typeface="Montserrat" panose="00000500000000000000" pitchFamily="2" charset="0"/>
                  <a:ea typeface="+mn-ea"/>
                  <a:cs typeface="+mn-cs"/>
                </a:rPr>
                <a:t> + etc</a:t>
              </a:r>
            </a:p>
            <a:p>
              <a:endParaRPr lang="en-US" sz="1100" b="1" i="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anose="00000500000000000000" pitchFamily="2" charset="0"/>
                  <a:ea typeface="+mn-ea"/>
                  <a:cs typeface="+mn-cs"/>
                </a:rPr>
                <a:t>And</a:t>
              </a:r>
              <a:r>
                <a:rPr lang="en-GB" sz="1100" baseline="0">
                  <a:solidFill>
                    <a:sysClr val="windowText" lastClr="000000"/>
                  </a:solidFill>
                  <a:effectLst/>
                  <a:latin typeface="Montserrat" panose="00000500000000000000" pitchFamily="2" charset="0"/>
                  <a:ea typeface="+mn-ea"/>
                  <a:cs typeface="+mn-cs"/>
                </a:rPr>
                <a:t> n</a:t>
              </a:r>
              <a:r>
                <a:rPr lang="en-GB" sz="1100">
                  <a:solidFill>
                    <a:sysClr val="windowText" lastClr="000000"/>
                  </a:solidFill>
                  <a:effectLst/>
                  <a:latin typeface="Montserrat" panose="00000500000000000000" pitchFamily="2" charset="0"/>
                  <a:ea typeface="+mn-ea"/>
                  <a:cs typeface="+mn-cs"/>
                </a:rPr>
                <a:t>et animal protein content (tonnes) is calculated as follows:</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r>
                <a:rPr lang="en-GB" sz="1100">
                  <a:solidFill>
                    <a:sysClr val="windowText" lastClr="000000"/>
                  </a:solidFill>
                  <a:effectLst/>
                  <a:latin typeface="Montserrat" pitchFamily="2" charset="0"/>
                  <a:ea typeface="+mn-ea"/>
                  <a:cs typeface="+mn-cs"/>
                </a:rPr>
                <a:t>	</a:t>
              </a:r>
              <a14:m>
                <m:oMath xmlns:m="http://schemas.openxmlformats.org/officeDocument/2006/math">
                  <m:r>
                    <a:rPr lang="en-GB" sz="1100" i="1">
                      <a:solidFill>
                        <a:sysClr val="windowText" lastClr="000000"/>
                      </a:solidFill>
                      <a:effectLst/>
                      <a:latin typeface="Cambria Math" panose="02040503050406030204" pitchFamily="18" charset="0"/>
                      <a:ea typeface="+mn-ea"/>
                      <a:cs typeface="+mn-cs"/>
                    </a:rPr>
                    <m:t>𝑛𝑒𝑡</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𝑎𝑛𝑖𝑚𝑎𝑙</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𝑝𝑟𝑜𝑡𝑒𝑖𝑛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𝑐𝑜𝑛𝑡𝑒𝑛𝑡</m:t>
                  </m:r>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r>
                    <a:rPr lang="en-GB" sz="1100" i="1">
                      <a:solidFill>
                        <a:sysClr val="windowText" lastClr="000000"/>
                      </a:solidFill>
                      <a:effectLst/>
                      <a:latin typeface="Cambria Math" panose="02040503050406030204" pitchFamily="18" charset="0"/>
                      <a:ea typeface="+mn-ea"/>
                      <a:cs typeface="+mn-cs"/>
                    </a:rPr>
                    <m:t>= </m:t>
                  </m:r>
                  <m:f>
                    <m:fPr>
                      <m:ctrlPr>
                        <a:rPr lang="en-NL" sz="1100" i="1">
                          <a:solidFill>
                            <a:sysClr val="windowText" lastClr="000000"/>
                          </a:solidFill>
                          <a:effectLst/>
                          <a:latin typeface="Cambria Math" panose="02040503050406030204" pitchFamily="18" charset="0"/>
                          <a:ea typeface="+mn-ea"/>
                          <a:cs typeface="+mn-cs"/>
                        </a:rPr>
                      </m:ctrlPr>
                    </m:fPr>
                    <m:num>
                      <m:r>
                        <a:rPr lang="en-GB" sz="1100" i="1">
                          <a:solidFill>
                            <a:sysClr val="windowText" lastClr="000000"/>
                          </a:solidFill>
                          <a:effectLst/>
                          <a:latin typeface="Cambria Math" panose="02040503050406030204" pitchFamily="18" charset="0"/>
                          <a:ea typeface="+mn-ea"/>
                          <a:cs typeface="+mn-cs"/>
                        </a:rPr>
                        <m:t>𝑛𝑒𝑡</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𝑝𝑟𝑜𝑑𝑢𝑐𝑡𝑖𝑜𝑛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𝑣𝑜𝑙𝑢𝑚𝑒</m:t>
                      </m:r>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r>
                        <a:rPr lang="de-DE" sz="1100" b="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m:t>
                      </m:r>
                      <m:r>
                        <a:rPr lang="de-DE" sz="1100" b="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𝑎𝑛𝑖𝑚𝑎𝑙</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𝑝𝑟𝑜𝑡𝑒𝑖𝑛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𝑐𝑜𝑛𝑡𝑒𝑛𝑡</m:t>
                      </m:r>
                      <m:r>
                        <a:rPr lang="en-GB" sz="1100" i="1">
                          <a:solidFill>
                            <a:sysClr val="windowText" lastClr="000000"/>
                          </a:solidFill>
                          <a:effectLst/>
                          <a:latin typeface="Cambria Math" panose="02040503050406030204" pitchFamily="18" charset="0"/>
                          <a:ea typeface="+mn-ea"/>
                          <a:cs typeface="+mn-cs"/>
                        </a:rPr>
                        <m:t> (%)</m:t>
                      </m:r>
                    </m:num>
                    <m:den>
                      <m:r>
                        <a:rPr lang="en-GB" sz="1100" i="1">
                          <a:solidFill>
                            <a:sysClr val="windowText" lastClr="000000"/>
                          </a:solidFill>
                          <a:effectLst/>
                          <a:latin typeface="Cambria Math" panose="02040503050406030204" pitchFamily="18" charset="0"/>
                          <a:ea typeface="+mn-ea"/>
                          <a:cs typeface="+mn-cs"/>
                        </a:rPr>
                        <m:t>100</m:t>
                      </m:r>
                    </m:den>
                  </m:f>
                </m:oMath>
              </a14:m>
              <a:endParaRPr lang="en-US" sz="1100" b="1" i="0">
                <a:solidFill>
                  <a:sysClr val="windowText" lastClr="000000"/>
                </a:solidFill>
                <a:effectLst/>
                <a:latin typeface="Montserrat" panose="00000500000000000000" pitchFamily="2" charset="0"/>
                <a:ea typeface="+mn-ea"/>
                <a:cs typeface="+mn-cs"/>
              </a:endParaRPr>
            </a:p>
            <a:p>
              <a:endParaRPr lang="en-US" sz="1100" b="1" i="0">
                <a:solidFill>
                  <a:sysClr val="windowText" lastClr="000000"/>
                </a:solidFill>
                <a:effectLst/>
                <a:latin typeface="Montserrat" panose="00000500000000000000" pitchFamily="2" charset="0"/>
                <a:ea typeface="+mn-ea"/>
                <a:cs typeface="+mn-cs"/>
              </a:endParaRPr>
            </a:p>
            <a:p>
              <a:r>
                <a:rPr lang="en-US" sz="1100" b="1" i="0">
                  <a:solidFill>
                    <a:schemeClr val="tx1"/>
                  </a:solidFill>
                  <a:effectLst/>
                  <a:latin typeface="Montserrat" panose="00000500000000000000" pitchFamily="2" charset="0"/>
                  <a:ea typeface="+mn-ea"/>
                  <a:cs typeface="+mn-cs"/>
                </a:rPr>
                <a:t>FFDRm</a:t>
              </a:r>
              <a:r>
                <a:rPr lang="en-US" sz="1100" b="0" i="0">
                  <a:solidFill>
                    <a:schemeClr val="tx1"/>
                  </a:solidFill>
                  <a:effectLst/>
                  <a:latin typeface="Montserrat" panose="00000500000000000000" pitchFamily="2" charset="0"/>
                  <a:ea typeface="+mn-ea"/>
                  <a:cs typeface="+mn-cs"/>
                </a:rPr>
                <a:t> (Calculated field)</a:t>
              </a:r>
              <a:endParaRPr lang="en-GB" sz="1100" b="0" i="0">
                <a:solidFill>
                  <a:schemeClr val="tx1"/>
                </a:solidFill>
                <a:effectLst/>
                <a:latin typeface="Montserrat" panose="00000500000000000000" pitchFamily="2" charset="0"/>
                <a:ea typeface="+mn-ea"/>
                <a:cs typeface="+mn-cs"/>
              </a:endParaRPr>
            </a:p>
            <a:p>
              <a:r>
                <a:rPr lang="en-US" sz="1100" b="0" i="0">
                  <a:solidFill>
                    <a:schemeClr val="tx1"/>
                  </a:solidFill>
                  <a:effectLst/>
                  <a:latin typeface="Montserrat" panose="00000500000000000000" pitchFamily="2" charset="0"/>
                  <a:ea typeface="+mn-ea"/>
                  <a:cs typeface="+mn-cs"/>
                </a:rPr>
                <a:t>The FFDRm is automatically calculated for each species. The FFDRm calculation is a weighted average and takes into account differences in content and yield between the used feed types and is calculated as follows:</a:t>
              </a:r>
            </a:p>
            <a:p>
              <a:endParaRPr lang="en-GB" sz="1100" b="0" i="0">
                <a:solidFill>
                  <a:schemeClr val="tx1"/>
                </a:solidFill>
                <a:effectLst/>
                <a:latin typeface="Montserrat" panose="00000500000000000000" pitchFamily="2" charset="0"/>
                <a:ea typeface="+mn-ea"/>
                <a:cs typeface="+mn-cs"/>
              </a:endParaRPr>
            </a:p>
            <a:p>
              <a:r>
                <a:rPr lang="en-GB" sz="1100" b="0">
                  <a:solidFill>
                    <a:schemeClr val="tx1"/>
                  </a:solidFill>
                  <a:effectLst/>
                  <a:latin typeface="Montserrat" pitchFamily="2" charset="0"/>
                  <a:ea typeface="+mn-ea"/>
                  <a:cs typeface="+mn-cs"/>
                </a:rPr>
                <a:t>	</a:t>
              </a:r>
              <a14:m>
                <m:oMath xmlns:m="http://schemas.openxmlformats.org/officeDocument/2006/math">
                  <m:r>
                    <a:rPr lang="en-GB" sz="1100" b="0" i="0">
                      <a:solidFill>
                        <a:schemeClr val="tx1"/>
                      </a:solidFill>
                      <a:effectLst/>
                      <a:latin typeface="Cambria Math" panose="02040503050406030204" pitchFamily="18" charset="0"/>
                      <a:ea typeface="+mn-ea"/>
                      <a:cs typeface="+mn-cs"/>
                    </a:rPr>
                    <m:t>𝐹</m:t>
                  </m:r>
                  <m:r>
                    <a:rPr lang="en-US" sz="1100" b="0" i="0">
                      <a:solidFill>
                        <a:schemeClr val="tx1"/>
                      </a:solidFill>
                      <a:effectLst/>
                      <a:latin typeface="Cambria Math" panose="02040503050406030204" pitchFamily="18" charset="0"/>
                      <a:ea typeface="+mn-ea"/>
                      <a:cs typeface="+mn-cs"/>
                    </a:rPr>
                    <m:t>𝐹</m:t>
                  </m:r>
                  <m:r>
                    <a:rPr lang="en-GB" sz="1100" b="0" i="0">
                      <a:solidFill>
                        <a:schemeClr val="tx1"/>
                      </a:solidFill>
                      <a:effectLst/>
                      <a:latin typeface="Cambria Math" panose="02040503050406030204" pitchFamily="18" charset="0"/>
                      <a:ea typeface="+mn-ea"/>
                      <a:cs typeface="+mn-cs"/>
                    </a:rPr>
                    <m:t>𝐷</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𝑅</m:t>
                      </m:r>
                    </m:e>
                    <m:sub>
                      <m:r>
                        <a:rPr lang="en-GB" sz="1100" b="0" i="0">
                          <a:solidFill>
                            <a:schemeClr val="tx1"/>
                          </a:solidFill>
                          <a:effectLst/>
                          <a:latin typeface="Cambria Math" panose="02040503050406030204" pitchFamily="18" charset="0"/>
                          <a:ea typeface="+mn-ea"/>
                          <a:cs typeface="+mn-cs"/>
                        </a:rPr>
                        <m:t>𝑚</m:t>
                      </m:r>
                    </m:sub>
                  </m:sSub>
                  <m:r>
                    <a:rPr lang="en-GB" sz="1100" b="0" i="0">
                      <a:solidFill>
                        <a:schemeClr val="tx1"/>
                      </a:solidFill>
                      <a:effectLst/>
                      <a:latin typeface="Cambria Math" panose="02040503050406030204" pitchFamily="18" charset="0"/>
                      <a:ea typeface="+mn-ea"/>
                      <a:cs typeface="+mn-cs"/>
                    </a:rPr>
                    <m:t>=</m:t>
                  </m:r>
                  <m:f>
                    <m:fPr>
                      <m:ctrlPr>
                        <a:rPr lang="en-GB" sz="1100" b="0" i="1">
                          <a:solidFill>
                            <a:schemeClr val="tx1"/>
                          </a:solidFill>
                          <a:effectLst/>
                          <a:latin typeface="Cambria Math" panose="02040503050406030204" pitchFamily="18" charset="0"/>
                          <a:ea typeface="+mn-ea"/>
                          <a:cs typeface="+mn-cs"/>
                        </a:rPr>
                      </m:ctrlPr>
                    </m:fPr>
                    <m:num>
                      <m:d>
                        <m:dPr>
                          <m:ctrlPr>
                            <a:rPr lang="en-GB" sz="1100" b="0" i="1">
                              <a:solidFill>
                                <a:schemeClr val="tx1"/>
                              </a:solidFill>
                              <a:effectLst/>
                              <a:latin typeface="Cambria Math" panose="02040503050406030204" pitchFamily="18" charset="0"/>
                              <a:ea typeface="+mn-ea"/>
                              <a:cs typeface="+mn-cs"/>
                            </a:rPr>
                          </m:ctrlPr>
                        </m:dPr>
                        <m:e>
                          <m:f>
                            <m:fPr>
                              <m:ctrlPr>
                                <a:rPr lang="en-GB" sz="1100" b="0" i="1">
                                  <a:solidFill>
                                    <a:schemeClr val="tx1"/>
                                  </a:solidFill>
                                  <a:effectLst/>
                                  <a:latin typeface="Cambria Math" panose="02040503050406030204" pitchFamily="18" charset="0"/>
                                  <a:ea typeface="+mn-ea"/>
                                  <a:cs typeface="+mn-cs"/>
                                </a:rPr>
                              </m:ctrlPr>
                            </m:fPr>
                            <m:num>
                              <m:r>
                                <a:rPr lang="en-GB" sz="1100" b="0" i="0">
                                  <a:solidFill>
                                    <a:schemeClr val="tx1"/>
                                  </a:solidFill>
                                  <a:effectLst/>
                                  <a:latin typeface="Cambria Math" panose="02040503050406030204" pitchFamily="18" charset="0"/>
                                  <a:ea typeface="+mn-ea"/>
                                  <a:cs typeface="+mn-cs"/>
                                </a:rPr>
                                <m:t>𝑓</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𝑚</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𝑐𝑜𝑛𝑡𝑒𝑛𝑡</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1</m:t>
                                  </m:r>
                                </m:sub>
                              </m:sSub>
                              <m:r>
                                <a:rPr lang="en-GB"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r>
                                    <a:rPr lang="en-GB" sz="1100" b="0" i="0">
                                      <a:solidFill>
                                        <a:schemeClr val="tx1"/>
                                      </a:solidFill>
                                      <a:effectLst/>
                                      <a:latin typeface="Cambria Math" panose="02040503050406030204" pitchFamily="18" charset="0"/>
                                      <a:ea typeface="+mn-ea"/>
                                      <a:cs typeface="+mn-cs"/>
                                    </a:rPr>
                                    <m:t>%</m:t>
                                  </m:r>
                                </m:e>
                              </m:d>
                            </m:num>
                            <m:den>
                              <m:r>
                                <a:rPr lang="en-GB" sz="1100" b="0" i="0">
                                  <a:solidFill>
                                    <a:schemeClr val="tx1"/>
                                  </a:solidFill>
                                  <a:effectLst/>
                                  <a:latin typeface="Cambria Math" panose="02040503050406030204" pitchFamily="18" charset="0"/>
                                  <a:ea typeface="+mn-ea"/>
                                  <a:cs typeface="+mn-cs"/>
                                </a:rPr>
                                <m:t>𝑓𝑚</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𝑦𝑖𝑒𝑙</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𝑑</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1</m:t>
                                  </m:r>
                                </m:sub>
                              </m:sSub>
                              <m:r>
                                <a:rPr lang="en-GB"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r>
                                    <a:rPr lang="en-GB" sz="1100" b="0" i="0">
                                      <a:solidFill>
                                        <a:schemeClr val="tx1"/>
                                      </a:solidFill>
                                      <a:effectLst/>
                                      <a:latin typeface="Cambria Math" panose="02040503050406030204" pitchFamily="18" charset="0"/>
                                      <a:ea typeface="+mn-ea"/>
                                      <a:cs typeface="+mn-cs"/>
                                    </a:rPr>
                                    <m:t>%</m:t>
                                  </m:r>
                                </m:e>
                              </m:d>
                            </m:den>
                          </m:f>
                          <m:r>
                            <a:rPr lang="de-DE" sz="1100" b="0" i="1">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m:t>
                          </m:r>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𝑓𝑒𝑒𝑑</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𝑢𝑠</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𝑒</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1</m:t>
                              </m:r>
                            </m:sub>
                          </m:sSub>
                          <m:r>
                            <a:rPr lang="en-GB" sz="1100" b="0" i="0">
                              <a:solidFill>
                                <a:schemeClr val="tx1"/>
                              </a:solidFill>
                              <a:effectLst/>
                              <a:latin typeface="Cambria Math" panose="02040503050406030204" pitchFamily="18" charset="0"/>
                              <a:ea typeface="+mn-ea"/>
                              <a:cs typeface="+mn-cs"/>
                            </a:rPr>
                            <m:t>(</m:t>
                          </m:r>
                          <m:r>
                            <a:rPr lang="en-GB" sz="1100" b="0" i="0">
                              <a:solidFill>
                                <a:schemeClr val="tx1"/>
                              </a:solidFill>
                              <a:effectLst/>
                              <a:latin typeface="Cambria Math" panose="02040503050406030204" pitchFamily="18" charset="0"/>
                              <a:ea typeface="+mn-ea"/>
                              <a:cs typeface="+mn-cs"/>
                            </a:rPr>
                            <m:t>𝑡𝑜𝑛𝑛𝑒𝑠</m:t>
                          </m:r>
                          <m:r>
                            <a:rPr lang="en-GB" sz="1100" b="0" i="0">
                              <a:solidFill>
                                <a:schemeClr val="tx1"/>
                              </a:solidFill>
                              <a:effectLst/>
                              <a:latin typeface="Cambria Math" panose="02040503050406030204" pitchFamily="18" charset="0"/>
                              <a:ea typeface="+mn-ea"/>
                              <a:cs typeface="+mn-cs"/>
                            </a:rPr>
                            <m:t>)</m:t>
                          </m:r>
                        </m:e>
                      </m:d>
                      <m:r>
                        <a:rPr lang="nl-NL"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m:t>
                      </m:r>
                      <m:r>
                        <a:rPr lang="de-DE"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f>
                            <m:fPr>
                              <m:ctrlPr>
                                <a:rPr lang="en-GB" sz="1100" b="0" i="1">
                                  <a:solidFill>
                                    <a:schemeClr val="tx1"/>
                                  </a:solidFill>
                                  <a:effectLst/>
                                  <a:latin typeface="Cambria Math" panose="02040503050406030204" pitchFamily="18" charset="0"/>
                                  <a:ea typeface="+mn-ea"/>
                                  <a:cs typeface="+mn-cs"/>
                                </a:rPr>
                              </m:ctrlPr>
                            </m:fPr>
                            <m:num>
                              <m:r>
                                <a:rPr lang="en-GB" sz="1100" b="0" i="0">
                                  <a:solidFill>
                                    <a:schemeClr val="tx1"/>
                                  </a:solidFill>
                                  <a:effectLst/>
                                  <a:latin typeface="Cambria Math" panose="02040503050406030204" pitchFamily="18" charset="0"/>
                                  <a:ea typeface="+mn-ea"/>
                                  <a:cs typeface="+mn-cs"/>
                                </a:rPr>
                                <m:t>𝑓</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𝑚</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𝑐𝑜𝑛𝑡𝑒𝑛𝑡</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2</m:t>
                                  </m:r>
                                </m:sub>
                              </m:sSub>
                              <m:r>
                                <a:rPr lang="en-GB"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r>
                                    <a:rPr lang="en-GB" sz="1100" b="0" i="0">
                                      <a:solidFill>
                                        <a:schemeClr val="tx1"/>
                                      </a:solidFill>
                                      <a:effectLst/>
                                      <a:latin typeface="Cambria Math" panose="02040503050406030204" pitchFamily="18" charset="0"/>
                                      <a:ea typeface="+mn-ea"/>
                                      <a:cs typeface="+mn-cs"/>
                                    </a:rPr>
                                    <m:t>%</m:t>
                                  </m:r>
                                </m:e>
                              </m:d>
                            </m:num>
                            <m:den>
                              <m:r>
                                <a:rPr lang="en-GB" sz="1100" b="0" i="0">
                                  <a:solidFill>
                                    <a:schemeClr val="tx1"/>
                                  </a:solidFill>
                                  <a:effectLst/>
                                  <a:latin typeface="Cambria Math" panose="02040503050406030204" pitchFamily="18" charset="0"/>
                                  <a:ea typeface="+mn-ea"/>
                                  <a:cs typeface="+mn-cs"/>
                                </a:rPr>
                                <m:t>𝑓𝑚</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𝑦𝑖𝑒𝑙</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𝑑</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2</m:t>
                                  </m:r>
                                </m:sub>
                              </m:sSub>
                              <m:r>
                                <a:rPr lang="en-GB"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r>
                                    <a:rPr lang="en-GB" sz="1100" b="0" i="0">
                                      <a:solidFill>
                                        <a:schemeClr val="tx1"/>
                                      </a:solidFill>
                                      <a:effectLst/>
                                      <a:latin typeface="Cambria Math" panose="02040503050406030204" pitchFamily="18" charset="0"/>
                                      <a:ea typeface="+mn-ea"/>
                                      <a:cs typeface="+mn-cs"/>
                                    </a:rPr>
                                    <m:t>%</m:t>
                                  </m:r>
                                </m:e>
                              </m:d>
                            </m:den>
                          </m:f>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m:t>
                          </m:r>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𝑓𝑒𝑒𝑑</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𝑢𝑠</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𝑒</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2</m:t>
                              </m:r>
                            </m:sub>
                          </m:sSub>
                          <m:r>
                            <a:rPr lang="en-GB" sz="1100" b="0" i="0">
                              <a:solidFill>
                                <a:schemeClr val="tx1"/>
                              </a:solidFill>
                              <a:effectLst/>
                              <a:latin typeface="Cambria Math" panose="02040503050406030204" pitchFamily="18" charset="0"/>
                              <a:ea typeface="+mn-ea"/>
                              <a:cs typeface="+mn-cs"/>
                            </a:rPr>
                            <m:t>(</m:t>
                          </m:r>
                          <m:r>
                            <a:rPr lang="en-GB" sz="1100" b="0" i="0">
                              <a:solidFill>
                                <a:schemeClr val="tx1"/>
                              </a:solidFill>
                              <a:effectLst/>
                              <a:latin typeface="Cambria Math" panose="02040503050406030204" pitchFamily="18" charset="0"/>
                              <a:ea typeface="+mn-ea"/>
                              <a:cs typeface="+mn-cs"/>
                            </a:rPr>
                            <m:t>𝑡𝑜𝑛𝑛𝑒𝑠</m:t>
                          </m:r>
                          <m:r>
                            <a:rPr lang="en-GB" sz="1100" b="0" i="0">
                              <a:solidFill>
                                <a:schemeClr val="tx1"/>
                              </a:solidFill>
                              <a:effectLst/>
                              <a:latin typeface="Cambria Math" panose="02040503050406030204" pitchFamily="18" charset="0"/>
                              <a:ea typeface="+mn-ea"/>
                              <a:cs typeface="+mn-cs"/>
                            </a:rPr>
                            <m:t>)</m:t>
                          </m:r>
                        </m:e>
                      </m:d>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m:t>
                      </m:r>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𝑒𝑡𝑐</m:t>
                      </m:r>
                    </m:num>
                    <m:den>
                      <m:r>
                        <a:rPr lang="en-GB" sz="1100" b="0" i="0">
                          <a:solidFill>
                            <a:schemeClr val="tx1"/>
                          </a:solidFill>
                          <a:effectLst/>
                          <a:latin typeface="Cambria Math" panose="02040503050406030204" pitchFamily="18" charset="0"/>
                          <a:ea typeface="+mn-ea"/>
                          <a:cs typeface="+mn-cs"/>
                        </a:rPr>
                        <m:t>𝑡𝑜𝑡𝑎𝑙</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𝑓𝑒𝑒𝑑</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𝑢𝑠𝑒</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𝑡𝑜𝑛𝑛𝑒𝑠</m:t>
                      </m:r>
                      <m:r>
                        <a:rPr lang="en-GB" sz="1100" b="0" i="0">
                          <a:solidFill>
                            <a:schemeClr val="tx1"/>
                          </a:solidFill>
                          <a:effectLst/>
                          <a:latin typeface="Cambria Math" panose="02040503050406030204" pitchFamily="18" charset="0"/>
                          <a:ea typeface="+mn-ea"/>
                          <a:cs typeface="+mn-cs"/>
                        </a:rPr>
                        <m:t>)</m:t>
                      </m:r>
                    </m:den>
                  </m:f>
                  <m:r>
                    <a:rPr lang="en-GB" sz="1100" b="0" i="0">
                      <a:solidFill>
                        <a:schemeClr val="tx1"/>
                      </a:solidFill>
                      <a:effectLst/>
                      <a:latin typeface="Cambria Math" panose="02040503050406030204" pitchFamily="18" charset="0"/>
                      <a:ea typeface="+mn-ea"/>
                      <a:cs typeface="+mn-cs"/>
                    </a:rPr>
                    <m:t>∗</m:t>
                  </m:r>
                  <m:r>
                    <a:rPr lang="en-GB" sz="1100" b="0" i="0">
                      <a:solidFill>
                        <a:schemeClr val="tx1"/>
                      </a:solidFill>
                      <a:effectLst/>
                      <a:latin typeface="Cambria Math" panose="02040503050406030204" pitchFamily="18" charset="0"/>
                      <a:ea typeface="+mn-ea"/>
                      <a:cs typeface="+mn-cs"/>
                    </a:rPr>
                    <m:t>𝑒𝐹𝐶𝑅</m:t>
                  </m:r>
                </m:oMath>
              </a14:m>
              <a:r>
                <a:rPr lang="en-US" sz="1100" b="0" i="0">
                  <a:solidFill>
                    <a:schemeClr val="tx1"/>
                  </a:solidFill>
                  <a:effectLst/>
                  <a:latin typeface="Montserrat" panose="00000500000000000000" pitchFamily="2" charset="0"/>
                  <a:ea typeface="+mn-ea"/>
                  <a:cs typeface="+mn-cs"/>
                </a:rPr>
                <a:t>   </a:t>
              </a:r>
            </a:p>
            <a:p>
              <a:endParaRPr lang="en-GB" sz="1100" b="1" i="0">
                <a:solidFill>
                  <a:schemeClr val="tx1"/>
                </a:solidFill>
                <a:effectLst/>
                <a:latin typeface="Montserrat" panose="00000500000000000000" pitchFamily="2" charset="0"/>
                <a:ea typeface="+mn-ea"/>
                <a:cs typeface="+mn-cs"/>
              </a:endParaRPr>
            </a:p>
            <a:p>
              <a:r>
                <a:rPr lang="en-US" sz="1100" b="1" i="0">
                  <a:solidFill>
                    <a:schemeClr val="tx1"/>
                  </a:solidFill>
                  <a:effectLst/>
                  <a:latin typeface="Montserrat" panose="00000500000000000000" pitchFamily="2" charset="0"/>
                  <a:ea typeface="+mn-ea"/>
                  <a:cs typeface="+mn-cs"/>
                </a:rPr>
                <a:t>FFDRo </a:t>
              </a:r>
              <a:r>
                <a:rPr lang="en-US" sz="1100" b="0" i="0">
                  <a:solidFill>
                    <a:schemeClr val="tx1"/>
                  </a:solidFill>
                  <a:effectLst/>
                  <a:latin typeface="Montserrat" panose="00000500000000000000" pitchFamily="2" charset="0"/>
                  <a:ea typeface="+mn-ea"/>
                  <a:cs typeface="+mn-cs"/>
                </a:rPr>
                <a:t>(Calculated field)</a:t>
              </a:r>
              <a:endParaRPr lang="en-GB" sz="1100" b="0" i="0">
                <a:solidFill>
                  <a:schemeClr val="tx1"/>
                </a:solidFill>
                <a:effectLst/>
                <a:latin typeface="Montserrat" panose="00000500000000000000" pitchFamily="2" charset="0"/>
                <a:ea typeface="+mn-ea"/>
                <a:cs typeface="+mn-cs"/>
              </a:endParaRPr>
            </a:p>
            <a:p>
              <a:r>
                <a:rPr lang="en-US" sz="1100" b="0" i="0">
                  <a:solidFill>
                    <a:schemeClr val="tx1"/>
                  </a:solidFill>
                  <a:effectLst/>
                  <a:latin typeface="Montserrat" panose="00000500000000000000" pitchFamily="2" charset="0"/>
                  <a:ea typeface="+mn-ea"/>
                  <a:cs typeface="+mn-cs"/>
                </a:rPr>
                <a:t>The FFDRo is automatically calculated for each species. The FFDRo calculation is a weighted average and takes into account differences in content and yield between the used feed types and is calculated as follows:</a:t>
              </a:r>
            </a:p>
            <a:p>
              <a:endParaRPr lang="en-GB" sz="1100" b="0" i="0">
                <a:solidFill>
                  <a:schemeClr val="tx1"/>
                </a:solidFill>
                <a:effectLst/>
                <a:latin typeface="Montserrat" panose="00000500000000000000" pitchFamily="2" charset="0"/>
                <a:ea typeface="+mn-ea"/>
                <a:cs typeface="+mn-cs"/>
              </a:endParaRPr>
            </a:p>
            <a:p>
              <a:r>
                <a:rPr lang="en-GB" sz="1100" b="0">
                  <a:solidFill>
                    <a:schemeClr val="tx1"/>
                  </a:solidFill>
                  <a:effectLst/>
                  <a:latin typeface="Montserrat" pitchFamily="2" charset="0"/>
                  <a:ea typeface="+mn-ea"/>
                  <a:cs typeface="+mn-cs"/>
                </a:rPr>
                <a:t>	</a:t>
              </a:r>
              <a14:m>
                <m:oMath xmlns:m="http://schemas.openxmlformats.org/officeDocument/2006/math">
                  <m:r>
                    <a:rPr lang="en-GB" sz="1100" b="0" i="0">
                      <a:solidFill>
                        <a:schemeClr val="tx1"/>
                      </a:solidFill>
                      <a:effectLst/>
                      <a:latin typeface="Cambria Math" panose="02040503050406030204" pitchFamily="18" charset="0"/>
                      <a:ea typeface="+mn-ea"/>
                      <a:cs typeface="+mn-cs"/>
                    </a:rPr>
                    <m:t>𝐹𝐹𝐷</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𝑅</m:t>
                      </m:r>
                    </m:e>
                    <m:sub>
                      <m:r>
                        <a:rPr lang="en-GB" sz="1100" b="0" i="0">
                          <a:solidFill>
                            <a:schemeClr val="tx1"/>
                          </a:solidFill>
                          <a:effectLst/>
                          <a:latin typeface="Cambria Math" panose="02040503050406030204" pitchFamily="18" charset="0"/>
                          <a:ea typeface="+mn-ea"/>
                          <a:cs typeface="+mn-cs"/>
                        </a:rPr>
                        <m:t>𝑜</m:t>
                      </m:r>
                    </m:sub>
                  </m:sSub>
                  <m:r>
                    <a:rPr lang="en-GB" sz="1100" b="0" i="0">
                      <a:solidFill>
                        <a:schemeClr val="tx1"/>
                      </a:solidFill>
                      <a:effectLst/>
                      <a:latin typeface="Cambria Math" panose="02040503050406030204" pitchFamily="18" charset="0"/>
                      <a:ea typeface="+mn-ea"/>
                      <a:cs typeface="+mn-cs"/>
                    </a:rPr>
                    <m:t>=</m:t>
                  </m:r>
                  <m:f>
                    <m:fPr>
                      <m:ctrlPr>
                        <a:rPr lang="en-GB" sz="1100" b="0" i="1">
                          <a:solidFill>
                            <a:schemeClr val="tx1"/>
                          </a:solidFill>
                          <a:effectLst/>
                          <a:latin typeface="Cambria Math" panose="02040503050406030204" pitchFamily="18" charset="0"/>
                          <a:ea typeface="+mn-ea"/>
                          <a:cs typeface="+mn-cs"/>
                        </a:rPr>
                      </m:ctrlPr>
                    </m:fPr>
                    <m:num>
                      <m:d>
                        <m:dPr>
                          <m:ctrlPr>
                            <a:rPr lang="en-GB" sz="1100" b="0" i="1">
                              <a:solidFill>
                                <a:schemeClr val="tx1"/>
                              </a:solidFill>
                              <a:effectLst/>
                              <a:latin typeface="Cambria Math" panose="02040503050406030204" pitchFamily="18" charset="0"/>
                              <a:ea typeface="+mn-ea"/>
                              <a:cs typeface="+mn-cs"/>
                            </a:rPr>
                          </m:ctrlPr>
                        </m:dPr>
                        <m:e>
                          <m:f>
                            <m:fPr>
                              <m:ctrlPr>
                                <a:rPr lang="en-GB" sz="1100" b="0" i="1">
                                  <a:solidFill>
                                    <a:schemeClr val="tx1"/>
                                  </a:solidFill>
                                  <a:effectLst/>
                                  <a:latin typeface="Cambria Math" panose="02040503050406030204" pitchFamily="18" charset="0"/>
                                  <a:ea typeface="+mn-ea"/>
                                  <a:cs typeface="+mn-cs"/>
                                </a:rPr>
                              </m:ctrlPr>
                            </m:fPr>
                            <m:num>
                              <m:r>
                                <a:rPr lang="en-GB" sz="1100" b="0" i="0">
                                  <a:solidFill>
                                    <a:schemeClr val="tx1"/>
                                  </a:solidFill>
                                  <a:effectLst/>
                                  <a:latin typeface="Cambria Math" panose="02040503050406030204" pitchFamily="18" charset="0"/>
                                  <a:ea typeface="+mn-ea"/>
                                  <a:cs typeface="+mn-cs"/>
                                </a:rPr>
                                <m:t>𝑓</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𝑜</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𝑐𝑜𝑛𝑡𝑒𝑛𝑡</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1</m:t>
                                  </m:r>
                                </m:sub>
                              </m:sSub>
                              <m:r>
                                <a:rPr lang="en-GB"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r>
                                    <a:rPr lang="en-GB" sz="1100" b="0" i="0">
                                      <a:solidFill>
                                        <a:schemeClr val="tx1"/>
                                      </a:solidFill>
                                      <a:effectLst/>
                                      <a:latin typeface="Cambria Math" panose="02040503050406030204" pitchFamily="18" charset="0"/>
                                      <a:ea typeface="+mn-ea"/>
                                      <a:cs typeface="+mn-cs"/>
                                    </a:rPr>
                                    <m:t>%</m:t>
                                  </m:r>
                                </m:e>
                              </m:d>
                            </m:num>
                            <m:den>
                              <m:r>
                                <a:rPr lang="en-GB" sz="1100" b="0" i="0">
                                  <a:solidFill>
                                    <a:schemeClr val="tx1"/>
                                  </a:solidFill>
                                  <a:effectLst/>
                                  <a:latin typeface="Cambria Math" panose="02040503050406030204" pitchFamily="18" charset="0"/>
                                  <a:ea typeface="+mn-ea"/>
                                  <a:cs typeface="+mn-cs"/>
                                </a:rPr>
                                <m:t>𝑓𝑜</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𝑦𝑖𝑒𝑙</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𝑑</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1</m:t>
                                  </m:r>
                                </m:sub>
                              </m:sSub>
                              <m:r>
                                <a:rPr lang="en-GB"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r>
                                    <a:rPr lang="en-GB" sz="1100" b="0" i="0">
                                      <a:solidFill>
                                        <a:schemeClr val="tx1"/>
                                      </a:solidFill>
                                      <a:effectLst/>
                                      <a:latin typeface="Cambria Math" panose="02040503050406030204" pitchFamily="18" charset="0"/>
                                      <a:ea typeface="+mn-ea"/>
                                      <a:cs typeface="+mn-cs"/>
                                    </a:rPr>
                                    <m:t>%</m:t>
                                  </m:r>
                                </m:e>
                              </m:d>
                            </m:den>
                          </m:f>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m:t>
                          </m:r>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𝑓𝑒𝑒𝑑</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𝑢𝑠</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𝑒</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1</m:t>
                              </m:r>
                            </m:sub>
                          </m:sSub>
                          <m:r>
                            <a:rPr lang="en-GB" sz="1100" b="0" i="0">
                              <a:solidFill>
                                <a:schemeClr val="tx1"/>
                              </a:solidFill>
                              <a:effectLst/>
                              <a:latin typeface="Cambria Math" panose="02040503050406030204" pitchFamily="18" charset="0"/>
                              <a:ea typeface="+mn-ea"/>
                              <a:cs typeface="+mn-cs"/>
                            </a:rPr>
                            <m:t>(</m:t>
                          </m:r>
                          <m:r>
                            <a:rPr lang="en-GB" sz="1100" b="0" i="0">
                              <a:solidFill>
                                <a:schemeClr val="tx1"/>
                              </a:solidFill>
                              <a:effectLst/>
                              <a:latin typeface="Cambria Math" panose="02040503050406030204" pitchFamily="18" charset="0"/>
                              <a:ea typeface="+mn-ea"/>
                              <a:cs typeface="+mn-cs"/>
                            </a:rPr>
                            <m:t>𝑡𝑜𝑛𝑛𝑒𝑠</m:t>
                          </m:r>
                          <m:r>
                            <a:rPr lang="en-GB" sz="1100" b="0" i="0">
                              <a:solidFill>
                                <a:schemeClr val="tx1"/>
                              </a:solidFill>
                              <a:effectLst/>
                              <a:latin typeface="Cambria Math" panose="02040503050406030204" pitchFamily="18" charset="0"/>
                              <a:ea typeface="+mn-ea"/>
                              <a:cs typeface="+mn-cs"/>
                            </a:rPr>
                            <m:t>)</m:t>
                          </m:r>
                        </m:e>
                      </m:d>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m:t>
                      </m:r>
                      <m:r>
                        <a:rPr lang="de-DE"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f>
                            <m:fPr>
                              <m:ctrlPr>
                                <a:rPr lang="en-GB" sz="1100" b="0" i="1">
                                  <a:solidFill>
                                    <a:schemeClr val="tx1"/>
                                  </a:solidFill>
                                  <a:effectLst/>
                                  <a:latin typeface="Cambria Math" panose="02040503050406030204" pitchFamily="18" charset="0"/>
                                  <a:ea typeface="+mn-ea"/>
                                  <a:cs typeface="+mn-cs"/>
                                </a:rPr>
                              </m:ctrlPr>
                            </m:fPr>
                            <m:num>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𝑓𝑜</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𝑐𝑜𝑛𝑡𝑒𝑛𝑡</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2</m:t>
                                  </m:r>
                                </m:sub>
                              </m:sSub>
                              <m:r>
                                <a:rPr lang="en-GB"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r>
                                    <a:rPr lang="en-GB" sz="1100" b="0" i="0">
                                      <a:solidFill>
                                        <a:schemeClr val="tx1"/>
                                      </a:solidFill>
                                      <a:effectLst/>
                                      <a:latin typeface="Cambria Math" panose="02040503050406030204" pitchFamily="18" charset="0"/>
                                      <a:ea typeface="+mn-ea"/>
                                      <a:cs typeface="+mn-cs"/>
                                    </a:rPr>
                                    <m:t>%</m:t>
                                  </m:r>
                                </m:e>
                              </m:d>
                            </m:num>
                            <m:den>
                              <m:r>
                                <a:rPr lang="en-GB" sz="1100" b="0" i="0">
                                  <a:solidFill>
                                    <a:schemeClr val="tx1"/>
                                  </a:solidFill>
                                  <a:effectLst/>
                                  <a:latin typeface="Cambria Math" panose="02040503050406030204" pitchFamily="18" charset="0"/>
                                  <a:ea typeface="+mn-ea"/>
                                  <a:cs typeface="+mn-cs"/>
                                </a:rPr>
                                <m:t>𝑓𝑜</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𝑦𝑖𝑒𝑙</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𝑑</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2</m:t>
                                  </m:r>
                                </m:sub>
                              </m:sSub>
                              <m:r>
                                <a:rPr lang="en-GB"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r>
                                    <a:rPr lang="en-GB" sz="1100" b="0" i="0">
                                      <a:solidFill>
                                        <a:schemeClr val="tx1"/>
                                      </a:solidFill>
                                      <a:effectLst/>
                                      <a:latin typeface="Cambria Math" panose="02040503050406030204" pitchFamily="18" charset="0"/>
                                      <a:ea typeface="+mn-ea"/>
                                      <a:cs typeface="+mn-cs"/>
                                    </a:rPr>
                                    <m:t>%</m:t>
                                  </m:r>
                                </m:e>
                              </m:d>
                            </m:den>
                          </m:f>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m:t>
                          </m:r>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𝑓𝑒𝑒𝑑</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𝑢𝑠</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𝑒</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2</m:t>
                              </m:r>
                            </m:sub>
                          </m:sSub>
                          <m:r>
                            <a:rPr lang="en-GB" sz="1100" b="0" i="0">
                              <a:solidFill>
                                <a:schemeClr val="tx1"/>
                              </a:solidFill>
                              <a:effectLst/>
                              <a:latin typeface="Cambria Math" panose="02040503050406030204" pitchFamily="18" charset="0"/>
                              <a:ea typeface="+mn-ea"/>
                              <a:cs typeface="+mn-cs"/>
                            </a:rPr>
                            <m:t>(</m:t>
                          </m:r>
                          <m:r>
                            <a:rPr lang="en-GB" sz="1100" b="0" i="0">
                              <a:solidFill>
                                <a:schemeClr val="tx1"/>
                              </a:solidFill>
                              <a:effectLst/>
                              <a:latin typeface="Cambria Math" panose="02040503050406030204" pitchFamily="18" charset="0"/>
                              <a:ea typeface="+mn-ea"/>
                              <a:cs typeface="+mn-cs"/>
                            </a:rPr>
                            <m:t>𝑡𝑜𝑛𝑛𝑒𝑠</m:t>
                          </m:r>
                          <m:r>
                            <a:rPr lang="en-GB" sz="1100" b="0" i="0">
                              <a:solidFill>
                                <a:schemeClr val="tx1"/>
                              </a:solidFill>
                              <a:effectLst/>
                              <a:latin typeface="Cambria Math" panose="02040503050406030204" pitchFamily="18" charset="0"/>
                              <a:ea typeface="+mn-ea"/>
                              <a:cs typeface="+mn-cs"/>
                            </a:rPr>
                            <m:t>)</m:t>
                          </m:r>
                        </m:e>
                      </m:d>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m:t>
                      </m:r>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𝑒𝑡𝑐</m:t>
                      </m:r>
                    </m:num>
                    <m:den>
                      <m:r>
                        <a:rPr lang="en-GB" sz="1100" b="0" i="0">
                          <a:solidFill>
                            <a:schemeClr val="tx1"/>
                          </a:solidFill>
                          <a:effectLst/>
                          <a:latin typeface="Cambria Math" panose="02040503050406030204" pitchFamily="18" charset="0"/>
                          <a:ea typeface="+mn-ea"/>
                          <a:cs typeface="+mn-cs"/>
                        </a:rPr>
                        <m:t>𝑡𝑜𝑡𝑎𝑙</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𝑓𝑒𝑒𝑑</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𝑢𝑠𝑒</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𝑡𝑜𝑛𝑛𝑒𝑠</m:t>
                      </m:r>
                      <m:r>
                        <a:rPr lang="en-GB" sz="1100" b="0" i="0">
                          <a:solidFill>
                            <a:schemeClr val="tx1"/>
                          </a:solidFill>
                          <a:effectLst/>
                          <a:latin typeface="Cambria Math" panose="02040503050406030204" pitchFamily="18" charset="0"/>
                          <a:ea typeface="+mn-ea"/>
                          <a:cs typeface="+mn-cs"/>
                        </a:rPr>
                        <m:t>)</m:t>
                      </m:r>
                    </m:den>
                  </m:f>
                  <m:r>
                    <a:rPr lang="en-GB" sz="1100" b="0" i="0">
                      <a:solidFill>
                        <a:schemeClr val="tx1"/>
                      </a:solidFill>
                      <a:effectLst/>
                      <a:latin typeface="Cambria Math" panose="02040503050406030204" pitchFamily="18" charset="0"/>
                      <a:ea typeface="+mn-ea"/>
                      <a:cs typeface="+mn-cs"/>
                    </a:rPr>
                    <m:t>∗</m:t>
                  </m:r>
                  <m:r>
                    <a:rPr lang="en-GB" sz="1100" b="0" i="0">
                      <a:solidFill>
                        <a:schemeClr val="tx1"/>
                      </a:solidFill>
                      <a:effectLst/>
                      <a:latin typeface="Cambria Math" panose="02040503050406030204" pitchFamily="18" charset="0"/>
                      <a:ea typeface="+mn-ea"/>
                      <a:cs typeface="+mn-cs"/>
                    </a:rPr>
                    <m:t>𝑒𝐹𝐶𝑅</m:t>
                  </m:r>
                </m:oMath>
              </a14:m>
              <a:r>
                <a:rPr lang="en-GB" sz="1100" b="0" i="0">
                  <a:solidFill>
                    <a:schemeClr val="tx1"/>
                  </a:solidFill>
                  <a:effectLst/>
                  <a:latin typeface="Montserrat" panose="00000500000000000000" pitchFamily="2" charset="0"/>
                  <a:ea typeface="+mn-ea"/>
                  <a:cs typeface="+mn-cs"/>
                </a:rPr>
                <a:t> </a:t>
              </a:r>
            </a:p>
            <a:p>
              <a:endParaRPr lang="en-US" sz="1100" b="1" i="0">
                <a:solidFill>
                  <a:sysClr val="windowText" lastClr="000000"/>
                </a:solidFill>
                <a:effectLst/>
                <a:latin typeface="Montserrat" panose="00000500000000000000" pitchFamily="2" charset="0"/>
                <a:ea typeface="+mn-ea"/>
                <a:cs typeface="+mn-cs"/>
              </a:endParaRPr>
            </a:p>
            <a:p>
              <a:r>
                <a:rPr lang="en-US" sz="1100" b="1" i="0">
                  <a:solidFill>
                    <a:schemeClr val="tx1"/>
                  </a:solidFill>
                  <a:effectLst/>
                  <a:latin typeface="Montserrat" panose="00000500000000000000" pitchFamily="2" charset="0"/>
                  <a:ea typeface="+mn-ea"/>
                  <a:cs typeface="+mn-cs"/>
                </a:rPr>
                <a:t>EPA and DHA in feed (g/kg) </a:t>
              </a:r>
              <a:r>
                <a:rPr lang="en-US" sz="1100" b="0" i="0">
                  <a:solidFill>
                    <a:schemeClr val="tx1"/>
                  </a:solidFill>
                  <a:effectLst/>
                  <a:latin typeface="Montserrat" panose="00000500000000000000" pitchFamily="2" charset="0"/>
                  <a:ea typeface="+mn-ea"/>
                  <a:cs typeface="+mn-cs"/>
                </a:rPr>
                <a:t>(Calculated field)</a:t>
              </a:r>
            </a:p>
            <a:p>
              <a:r>
                <a:rPr lang="en-US" sz="1100" b="0" i="0">
                  <a:solidFill>
                    <a:schemeClr val="tx1"/>
                  </a:solidFill>
                  <a:effectLst/>
                  <a:latin typeface="Montserrat" panose="00000500000000000000" pitchFamily="2" charset="0"/>
                  <a:ea typeface="+mn-ea"/>
                  <a:cs typeface="+mn-cs"/>
                </a:rPr>
                <a:t>The EPA &amp; DHA in feed in g/kg of feed is automatically calculated for each species. </a:t>
              </a:r>
              <a:r>
                <a:rPr lang="en-US" sz="1100">
                  <a:solidFill>
                    <a:sysClr val="windowText" lastClr="000000"/>
                  </a:solidFill>
                  <a:effectLst/>
                  <a:latin typeface="Montserrat" panose="00000500000000000000" pitchFamily="2" charset="0"/>
                  <a:ea typeface="+mn-ea"/>
                  <a:cs typeface="+mn-cs"/>
                </a:rPr>
                <a:t>If the fish oil content varies in different feeds used during production, a weighted average is calculated. The grams of fish oil relate to fish oil originating from forage fisheries for industrial purposes. The EPA and DHA in feed</a:t>
              </a:r>
              <a:r>
                <a:rPr lang="en-US" sz="1100" baseline="0">
                  <a:solidFill>
                    <a:sysClr val="windowText" lastClr="000000"/>
                  </a:solidFill>
                  <a:effectLst/>
                  <a:latin typeface="Montserrat" panose="00000500000000000000" pitchFamily="2" charset="0"/>
                  <a:ea typeface="+mn-ea"/>
                  <a:cs typeface="+mn-cs"/>
                </a:rPr>
                <a:t> is calculated as follows:</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anose="00000500000000000000" pitchFamily="2" charset="0"/>
                  <a:ea typeface="+mn-ea"/>
                  <a:cs typeface="+mn-cs"/>
                </a:rPr>
                <a:t> </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14:m>
                <m:oMath xmlns:m="http://schemas.openxmlformats.org/officeDocument/2006/math">
                  <m:r>
                    <a:rPr lang="en-GB" sz="1100" i="1">
                      <a:solidFill>
                        <a:sysClr val="windowText" lastClr="000000"/>
                      </a:solidFill>
                      <a:effectLst/>
                      <a:latin typeface="Cambria Math" panose="02040503050406030204" pitchFamily="18" charset="0"/>
                      <a:ea typeface="+mn-ea"/>
                      <a:cs typeface="+mn-cs"/>
                    </a:rPr>
                    <m:t>𝐸𝑃𝐴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𝑎𝑛𝑑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𝐷𝐻𝐴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𝑖𝑛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𝑓𝑒𝑒𝑑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𝑔</m:t>
                  </m:r>
                  <m:r>
                    <a:rPr lang="en-GB" sz="1100" i="1">
                      <a:solidFill>
                        <a:sysClr val="windowText" lastClr="000000"/>
                      </a:solidFill>
                      <a:effectLst/>
                      <a:latin typeface="Cambria Math" panose="02040503050406030204" pitchFamily="18" charset="0"/>
                      <a:ea typeface="+mn-ea"/>
                      <a:cs typeface="+mn-cs"/>
                    </a:rPr>
                    <m:t>/</m:t>
                  </m:r>
                  <m:r>
                    <a:rPr lang="en-GB" sz="1100" i="1">
                      <a:solidFill>
                        <a:sysClr val="windowText" lastClr="000000"/>
                      </a:solidFill>
                      <a:effectLst/>
                      <a:latin typeface="Cambria Math" panose="02040503050406030204" pitchFamily="18" charset="0"/>
                      <a:ea typeface="+mn-ea"/>
                      <a:cs typeface="+mn-cs"/>
                    </a:rPr>
                    <m:t>𝑘𝑔</m:t>
                  </m:r>
                  <m:r>
                    <a:rPr lang="en-GB" sz="1100" i="1">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m:t>
                  </m:r>
                  <m:f>
                    <m:fPr>
                      <m:ctrlPr>
                        <a:rPr lang="en-NL" sz="1100" i="1">
                          <a:solidFill>
                            <a:sysClr val="windowText" lastClr="000000"/>
                          </a:solidFill>
                          <a:effectLst/>
                          <a:latin typeface="Cambria Math" panose="02040503050406030204" pitchFamily="18" charset="0"/>
                          <a:ea typeface="+mn-ea"/>
                          <a:cs typeface="+mn-cs"/>
                        </a:rPr>
                      </m:ctrlPr>
                    </m:fPr>
                    <m:num>
                      <m:r>
                        <a:rPr lang="en-GB" sz="1100" i="1">
                          <a:solidFill>
                            <a:sysClr val="windowText" lastClr="000000"/>
                          </a:solidFill>
                          <a:effectLst/>
                          <a:latin typeface="Cambria Math" panose="02040503050406030204" pitchFamily="18" charset="0"/>
                          <a:ea typeface="+mn-ea"/>
                          <a:cs typeface="+mn-cs"/>
                        </a:rPr>
                        <m:t>𝑡𝑜𝑡𝑎𝑙</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𝐸𝑃𝐴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𝑎𝑛𝑑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𝐷𝐻𝐴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𝑖𝑛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𝑓𝑒𝑒𝑑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𝑔</m:t>
                      </m:r>
                      <m:r>
                        <a:rPr lang="en-GB" sz="1100" i="1">
                          <a:solidFill>
                            <a:sysClr val="windowText" lastClr="000000"/>
                          </a:solidFill>
                          <a:effectLst/>
                          <a:latin typeface="Cambria Math" panose="02040503050406030204" pitchFamily="18" charset="0"/>
                          <a:ea typeface="+mn-ea"/>
                          <a:cs typeface="+mn-cs"/>
                        </a:rPr>
                        <m:t>)</m:t>
                      </m:r>
                    </m:num>
                    <m:den>
                      <m:r>
                        <a:rPr lang="en-GB" sz="1100" i="1">
                          <a:solidFill>
                            <a:sysClr val="windowText" lastClr="000000"/>
                          </a:solidFill>
                          <a:effectLst/>
                          <a:latin typeface="Cambria Math" panose="02040503050406030204" pitchFamily="18" charset="0"/>
                          <a:ea typeface="+mn-ea"/>
                          <a:cs typeface="+mn-cs"/>
                        </a:rPr>
                        <m:t>𝑡𝑜𝑡𝑎𝑙</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𝑓𝑒𝑒𝑑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𝑢𝑠𝑒</m:t>
                      </m:r>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r>
                        <a:rPr lang="de-DE" sz="1100" b="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m:t>
                      </m:r>
                      <m:r>
                        <a:rPr lang="de-DE" sz="1100" b="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1000</m:t>
                      </m:r>
                    </m:den>
                  </m:f>
                </m:oMath>
              </a14:m>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anose="00000500000000000000" pitchFamily="2" charset="0"/>
                  <a:ea typeface="+mn-ea"/>
                  <a:cs typeface="+mn-cs"/>
                </a:rPr>
                <a:t>Where total EPA and DHA in feed is calculated as follows:</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r>
                <a:rPr lang="en-GB" sz="1100">
                  <a:solidFill>
                    <a:sysClr val="windowText" lastClr="000000"/>
                  </a:solidFill>
                  <a:effectLst/>
                  <a:ea typeface="+mn-ea"/>
                  <a:cs typeface="+mn-cs"/>
                </a:rPr>
                <a:t>	</a:t>
              </a:r>
              <a14:m>
                <m:oMath xmlns:m="http://schemas.openxmlformats.org/officeDocument/2006/math">
                  <m:r>
                    <a:rPr lang="en-GB" sz="1100" i="1">
                      <a:solidFill>
                        <a:sysClr val="windowText" lastClr="000000"/>
                      </a:solidFill>
                      <a:effectLst/>
                      <a:latin typeface="Cambria Math" panose="02040503050406030204" pitchFamily="18" charset="0"/>
                      <a:ea typeface="+mn-ea"/>
                      <a:cs typeface="+mn-cs"/>
                    </a:rPr>
                    <m:t>𝑡𝑜𝑡𝑎𝑙</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𝐸𝑃𝐴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𝑎𝑛𝑑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𝐷𝐻𝐴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𝑖𝑛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𝑓𝑒𝑒𝑑</m:t>
                  </m:r>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𝑔</m:t>
                      </m:r>
                    </m:e>
                  </m:d>
                  <m:r>
                    <a:rPr lang="en-GB" sz="1100">
                      <a:solidFill>
                        <a:sysClr val="windowText" lastClr="000000"/>
                      </a:solidFill>
                      <a:effectLst/>
                      <a:latin typeface="Cambria Math" panose="02040503050406030204" pitchFamily="18" charset="0"/>
                      <a:ea typeface="+mn-ea"/>
                      <a:cs typeface="+mn-cs"/>
                    </a:rPr>
                    <m:t>=</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𝐸𝑃𝐴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𝑎𝑛𝑑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𝐷𝐻𝐴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𝑐𝑜𝑛𝑡𝑒𝑛</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i="1">
                              <a:solidFill>
                                <a:sysClr val="windowText" lastClr="000000"/>
                              </a:solidFill>
                              <a:effectLst/>
                              <a:latin typeface="Cambria Math" panose="02040503050406030204" pitchFamily="18" charset="0"/>
                              <a:ea typeface="+mn-ea"/>
                              <a:cs typeface="+mn-cs"/>
                            </a:rPr>
                            <m:t>𝑡</m:t>
                          </m:r>
                        </m:e>
                        <m:sub>
                          <m:r>
                            <a:rPr lang="en-GB" sz="1100" i="1">
                              <a:solidFill>
                                <a:sysClr val="windowText" lastClr="000000"/>
                              </a:solidFill>
                              <a:effectLst/>
                              <a:latin typeface="Cambria Math" panose="02040503050406030204" pitchFamily="18" charset="0"/>
                              <a:ea typeface="+mn-ea"/>
                              <a:cs typeface="+mn-cs"/>
                            </a:rPr>
                            <m:t>𝑡𝑦𝑝𝑒</m:t>
                          </m:r>
                          <m:r>
                            <a:rPr lang="en-GB" sz="1100" i="1">
                              <a:solidFill>
                                <a:sysClr val="windowText" lastClr="000000"/>
                              </a:solidFill>
                              <a:effectLst/>
                              <a:latin typeface="Cambria Math" panose="02040503050406030204" pitchFamily="18" charset="0"/>
                              <a:ea typeface="+mn-ea"/>
                              <a:cs typeface="+mn-cs"/>
                            </a:rPr>
                            <m:t> 1</m:t>
                          </m:r>
                        </m:sub>
                      </m:sSub>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m:t>
                          </m:r>
                        </m:e>
                      </m:d>
                      <m:r>
                        <a:rPr lang="en-GB" sz="1100" i="1">
                          <a:solidFill>
                            <a:sysClr val="windowText" lastClr="000000"/>
                          </a:solidFill>
                          <a:effectLst/>
                          <a:latin typeface="Cambria Math" panose="02040503050406030204" pitchFamily="18" charset="0"/>
                          <a:ea typeface="+mn-ea"/>
                          <a:cs typeface="+mn-cs"/>
                        </a:rPr>
                        <m:t>∗</m:t>
                      </m:r>
                      <m:r>
                        <a:rPr lang="en-GB" sz="1100" i="1">
                          <a:solidFill>
                            <a:sysClr val="windowText" lastClr="000000"/>
                          </a:solidFill>
                          <a:effectLst/>
                          <a:latin typeface="Cambria Math" panose="02040503050406030204" pitchFamily="18" charset="0"/>
                          <a:ea typeface="+mn-ea"/>
                          <a:cs typeface="+mn-cs"/>
                        </a:rPr>
                        <m:t>𝑓𝑜</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𝑐𝑜𝑛𝑡𝑒𝑛</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i="1">
                              <a:solidFill>
                                <a:sysClr val="windowText" lastClr="000000"/>
                              </a:solidFill>
                              <a:effectLst/>
                              <a:latin typeface="Cambria Math" panose="02040503050406030204" pitchFamily="18" charset="0"/>
                              <a:ea typeface="+mn-ea"/>
                              <a:cs typeface="+mn-cs"/>
                            </a:rPr>
                            <m:t>𝑡</m:t>
                          </m:r>
                        </m:e>
                        <m:sub>
                          <m:r>
                            <a:rPr lang="en-GB" sz="1100" i="1">
                              <a:solidFill>
                                <a:sysClr val="windowText" lastClr="000000"/>
                              </a:solidFill>
                              <a:effectLst/>
                              <a:latin typeface="Cambria Math" panose="02040503050406030204" pitchFamily="18" charset="0"/>
                              <a:ea typeface="+mn-ea"/>
                              <a:cs typeface="+mn-cs"/>
                            </a:rPr>
                            <m:t>𝑡𝑦𝑝𝑒</m:t>
                          </m:r>
                          <m:r>
                            <a:rPr lang="en-GB" sz="1100" i="1">
                              <a:solidFill>
                                <a:sysClr val="windowText" lastClr="000000"/>
                              </a:solidFill>
                              <a:effectLst/>
                              <a:latin typeface="Cambria Math" panose="02040503050406030204" pitchFamily="18" charset="0"/>
                              <a:ea typeface="+mn-ea"/>
                              <a:cs typeface="+mn-cs"/>
                            </a:rPr>
                            <m:t> 1</m:t>
                          </m:r>
                        </m:sub>
                      </m:sSub>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m:t>
                          </m:r>
                        </m:e>
                      </m:d>
                      <m:r>
                        <a:rPr lang="en-GB" sz="1100" i="1">
                          <a:solidFill>
                            <a:sysClr val="windowText" lastClr="000000"/>
                          </a:solidFill>
                          <a:effectLst/>
                          <a:latin typeface="Cambria Math" panose="02040503050406030204" pitchFamily="18" charset="0"/>
                          <a:ea typeface="+mn-ea"/>
                          <a:cs typeface="+mn-cs"/>
                        </a:rPr>
                        <m:t>∗</m:t>
                      </m:r>
                      <m:r>
                        <a:rPr lang="en-GB" sz="1100" i="1">
                          <a:solidFill>
                            <a:sysClr val="windowText" lastClr="000000"/>
                          </a:solidFill>
                          <a:effectLst/>
                          <a:latin typeface="Cambria Math" panose="02040503050406030204" pitchFamily="18" charset="0"/>
                          <a:ea typeface="+mn-ea"/>
                          <a:cs typeface="+mn-cs"/>
                        </a:rPr>
                        <m:t>𝑓𝑒𝑒𝑑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𝑢𝑠</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i="1">
                              <a:solidFill>
                                <a:sysClr val="windowText" lastClr="000000"/>
                              </a:solidFill>
                              <a:effectLst/>
                              <a:latin typeface="Cambria Math" panose="02040503050406030204" pitchFamily="18" charset="0"/>
                              <a:ea typeface="+mn-ea"/>
                              <a:cs typeface="+mn-cs"/>
                            </a:rPr>
                            <m:t>𝑒</m:t>
                          </m:r>
                        </m:e>
                        <m:sub>
                          <m:r>
                            <a:rPr lang="en-GB" sz="1100" i="1">
                              <a:solidFill>
                                <a:sysClr val="windowText" lastClr="000000"/>
                              </a:solidFill>
                              <a:effectLst/>
                              <a:latin typeface="Cambria Math" panose="02040503050406030204" pitchFamily="18" charset="0"/>
                              <a:ea typeface="+mn-ea"/>
                              <a:cs typeface="+mn-cs"/>
                            </a:rPr>
                            <m:t>𝑡𝑦𝑝𝑒</m:t>
                          </m:r>
                          <m:r>
                            <a:rPr lang="en-GB" sz="1100" i="1">
                              <a:solidFill>
                                <a:sysClr val="windowText" lastClr="000000"/>
                              </a:solidFill>
                              <a:effectLst/>
                              <a:latin typeface="Cambria Math" panose="02040503050406030204" pitchFamily="18" charset="0"/>
                              <a:ea typeface="+mn-ea"/>
                              <a:cs typeface="+mn-cs"/>
                            </a:rPr>
                            <m:t> 1</m:t>
                          </m:r>
                        </m:sub>
                      </m:sSub>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r>
                        <a:rPr lang="en-GB" sz="1100" i="1">
                          <a:solidFill>
                            <a:sysClr val="windowText" lastClr="000000"/>
                          </a:solidFill>
                          <a:effectLst/>
                          <a:latin typeface="Cambria Math" panose="02040503050406030204" pitchFamily="18" charset="0"/>
                          <a:ea typeface="+mn-ea"/>
                          <a:cs typeface="+mn-cs"/>
                        </a:rPr>
                        <m:t>∗100</m:t>
                      </m:r>
                    </m:e>
                  </m:d>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𝐸𝑃𝐴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𝑎𝑛𝑑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𝐷𝐻𝐴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𝑐𝑜𝑛𝑡𝑒𝑛</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i="1">
                              <a:solidFill>
                                <a:sysClr val="windowText" lastClr="000000"/>
                              </a:solidFill>
                              <a:effectLst/>
                              <a:latin typeface="Cambria Math" panose="02040503050406030204" pitchFamily="18" charset="0"/>
                              <a:ea typeface="+mn-ea"/>
                              <a:cs typeface="+mn-cs"/>
                            </a:rPr>
                            <m:t>𝑡</m:t>
                          </m:r>
                        </m:e>
                        <m:sub>
                          <m:r>
                            <a:rPr lang="en-GB" sz="1100" i="1">
                              <a:solidFill>
                                <a:sysClr val="windowText" lastClr="000000"/>
                              </a:solidFill>
                              <a:effectLst/>
                              <a:latin typeface="Cambria Math" panose="02040503050406030204" pitchFamily="18" charset="0"/>
                              <a:ea typeface="+mn-ea"/>
                              <a:cs typeface="+mn-cs"/>
                            </a:rPr>
                            <m:t>𝑡𝑦𝑝𝑒</m:t>
                          </m:r>
                          <m:r>
                            <a:rPr lang="en-GB" sz="1100" i="1">
                              <a:solidFill>
                                <a:sysClr val="windowText" lastClr="000000"/>
                              </a:solidFill>
                              <a:effectLst/>
                              <a:latin typeface="Cambria Math" panose="02040503050406030204" pitchFamily="18" charset="0"/>
                              <a:ea typeface="+mn-ea"/>
                              <a:cs typeface="+mn-cs"/>
                            </a:rPr>
                            <m:t> 2</m:t>
                          </m:r>
                        </m:sub>
                      </m:sSub>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m:t>
                          </m:r>
                        </m:e>
                      </m:d>
                      <m:r>
                        <a:rPr lang="en-GB" sz="1100" i="1">
                          <a:solidFill>
                            <a:sysClr val="windowText" lastClr="000000"/>
                          </a:solidFill>
                          <a:effectLst/>
                          <a:latin typeface="Cambria Math" panose="02040503050406030204" pitchFamily="18" charset="0"/>
                          <a:ea typeface="+mn-ea"/>
                          <a:cs typeface="+mn-cs"/>
                        </a:rPr>
                        <m:t>∗</m:t>
                      </m:r>
                      <m:r>
                        <a:rPr lang="en-GB" sz="1100" i="1">
                          <a:solidFill>
                            <a:sysClr val="windowText" lastClr="000000"/>
                          </a:solidFill>
                          <a:effectLst/>
                          <a:latin typeface="Cambria Math" panose="02040503050406030204" pitchFamily="18" charset="0"/>
                          <a:ea typeface="+mn-ea"/>
                          <a:cs typeface="+mn-cs"/>
                        </a:rPr>
                        <m:t>𝑓𝑜</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𝑐𝑜𝑛𝑡𝑒𝑛</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i="1">
                              <a:solidFill>
                                <a:sysClr val="windowText" lastClr="000000"/>
                              </a:solidFill>
                              <a:effectLst/>
                              <a:latin typeface="Cambria Math" panose="02040503050406030204" pitchFamily="18" charset="0"/>
                              <a:ea typeface="+mn-ea"/>
                              <a:cs typeface="+mn-cs"/>
                            </a:rPr>
                            <m:t>𝑡</m:t>
                          </m:r>
                        </m:e>
                        <m:sub>
                          <m:r>
                            <a:rPr lang="en-GB" sz="1100" i="1">
                              <a:solidFill>
                                <a:sysClr val="windowText" lastClr="000000"/>
                              </a:solidFill>
                              <a:effectLst/>
                              <a:latin typeface="Cambria Math" panose="02040503050406030204" pitchFamily="18" charset="0"/>
                              <a:ea typeface="+mn-ea"/>
                              <a:cs typeface="+mn-cs"/>
                            </a:rPr>
                            <m:t>𝑡𝑦𝑝𝑒</m:t>
                          </m:r>
                          <m:r>
                            <a:rPr lang="en-GB" sz="1100" i="1">
                              <a:solidFill>
                                <a:sysClr val="windowText" lastClr="000000"/>
                              </a:solidFill>
                              <a:effectLst/>
                              <a:latin typeface="Cambria Math" panose="02040503050406030204" pitchFamily="18" charset="0"/>
                              <a:ea typeface="+mn-ea"/>
                              <a:cs typeface="+mn-cs"/>
                            </a:rPr>
                            <m:t> 2</m:t>
                          </m:r>
                        </m:sub>
                      </m:sSub>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m:t>
                          </m:r>
                        </m:e>
                      </m:d>
                      <m:r>
                        <a:rPr lang="en-GB" sz="1100" i="1">
                          <a:solidFill>
                            <a:sysClr val="windowText" lastClr="000000"/>
                          </a:solidFill>
                          <a:effectLst/>
                          <a:latin typeface="Cambria Math" panose="02040503050406030204" pitchFamily="18" charset="0"/>
                          <a:ea typeface="+mn-ea"/>
                          <a:cs typeface="+mn-cs"/>
                        </a:rPr>
                        <m:t>∗</m:t>
                      </m:r>
                      <m:r>
                        <a:rPr lang="en-GB" sz="1100" i="1">
                          <a:solidFill>
                            <a:sysClr val="windowText" lastClr="000000"/>
                          </a:solidFill>
                          <a:effectLst/>
                          <a:latin typeface="Cambria Math" panose="02040503050406030204" pitchFamily="18" charset="0"/>
                          <a:ea typeface="+mn-ea"/>
                          <a:cs typeface="+mn-cs"/>
                        </a:rPr>
                        <m:t>𝑓𝑒𝑒𝑑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𝑢𝑠</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i="1">
                              <a:solidFill>
                                <a:sysClr val="windowText" lastClr="000000"/>
                              </a:solidFill>
                              <a:effectLst/>
                              <a:latin typeface="Cambria Math" panose="02040503050406030204" pitchFamily="18" charset="0"/>
                              <a:ea typeface="+mn-ea"/>
                              <a:cs typeface="+mn-cs"/>
                            </a:rPr>
                            <m:t>𝑒</m:t>
                          </m:r>
                        </m:e>
                        <m:sub>
                          <m:r>
                            <a:rPr lang="en-GB" sz="1100" i="1">
                              <a:solidFill>
                                <a:sysClr val="windowText" lastClr="000000"/>
                              </a:solidFill>
                              <a:effectLst/>
                              <a:latin typeface="Cambria Math" panose="02040503050406030204" pitchFamily="18" charset="0"/>
                              <a:ea typeface="+mn-ea"/>
                              <a:cs typeface="+mn-cs"/>
                            </a:rPr>
                            <m:t>𝑡𝑦𝑝𝑒</m:t>
                          </m:r>
                          <m:r>
                            <a:rPr lang="en-GB" sz="1100" i="1">
                              <a:solidFill>
                                <a:sysClr val="windowText" lastClr="000000"/>
                              </a:solidFill>
                              <a:effectLst/>
                              <a:latin typeface="Cambria Math" panose="02040503050406030204" pitchFamily="18" charset="0"/>
                              <a:ea typeface="+mn-ea"/>
                              <a:cs typeface="+mn-cs"/>
                            </a:rPr>
                            <m:t> 2</m:t>
                          </m:r>
                        </m:sub>
                      </m:sSub>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r>
                        <a:rPr lang="en-GB" sz="1100" i="1">
                          <a:solidFill>
                            <a:sysClr val="windowText" lastClr="000000"/>
                          </a:solidFill>
                          <a:effectLst/>
                          <a:latin typeface="Cambria Math" panose="02040503050406030204" pitchFamily="18" charset="0"/>
                          <a:ea typeface="+mn-ea"/>
                          <a:cs typeface="+mn-cs"/>
                        </a:rPr>
                        <m:t>∗100</m:t>
                      </m:r>
                    </m:e>
                  </m:d>
                  <m:r>
                    <a:rPr lang="en-GB" sz="1100" i="1">
                      <a:solidFill>
                        <a:sysClr val="windowText" lastClr="000000"/>
                      </a:solidFill>
                      <a:effectLst/>
                      <a:latin typeface="Cambria Math" panose="02040503050406030204" pitchFamily="18" charset="0"/>
                      <a:ea typeface="+mn-ea"/>
                      <a:cs typeface="+mn-cs"/>
                    </a:rPr>
                    <m:t>+</m:t>
                  </m:r>
                  <m:r>
                    <a:rPr lang="en-GB" sz="1100" i="1">
                      <a:solidFill>
                        <a:sysClr val="windowText" lastClr="000000"/>
                      </a:solidFill>
                      <a:effectLst/>
                      <a:latin typeface="Cambria Math" panose="02040503050406030204" pitchFamily="18" charset="0"/>
                      <a:ea typeface="+mn-ea"/>
                      <a:cs typeface="+mn-cs"/>
                    </a:rPr>
                    <m:t>𝑒𝑡𝑐</m:t>
                  </m:r>
                </m:oMath>
              </a14:m>
              <a:endParaRPr lang="en-GB" sz="1100">
                <a:solidFill>
                  <a:sysClr val="windowText" lastClr="000000"/>
                </a:solidFill>
                <a:effectLst/>
                <a:latin typeface="Montserrat" pitchFamily="2" charset="0"/>
                <a:ea typeface="+mn-ea"/>
                <a:cs typeface="+mn-cs"/>
              </a:endParaRPr>
            </a:p>
            <a:p>
              <a:endParaRPr lang="en-GB" sz="1100">
                <a:solidFill>
                  <a:sysClr val="windowText" lastClr="000000"/>
                </a:solidFill>
                <a:effectLst/>
                <a:latin typeface="Montserrat" pitchFamily="2" charset="0"/>
                <a:ea typeface="+mn-ea"/>
                <a:cs typeface="+mn-cs"/>
              </a:endParaRPr>
            </a:p>
            <a:p>
              <a:endParaRPr lang="en-NL" sz="1100" b="1">
                <a:solidFill>
                  <a:sysClr val="windowText" lastClr="000000"/>
                </a:solidFill>
                <a:effectLst/>
                <a:latin typeface="Montserrat" pitchFamily="2" charset="0"/>
              </a:endParaRPr>
            </a:p>
            <a:p>
              <a:r>
                <a:rPr lang="en-US" sz="1100" b="1" i="0">
                  <a:solidFill>
                    <a:sysClr val="windowText" lastClr="000000"/>
                  </a:solidFill>
                  <a:effectLst/>
                  <a:latin typeface="Montserrat" pitchFamily="2" charset="0"/>
                  <a:ea typeface="+mn-ea"/>
                  <a:cs typeface="+mn-cs"/>
                </a:rPr>
                <a:t>EPA</a:t>
              </a:r>
              <a:r>
                <a:rPr lang="en-US" sz="1100" b="1" i="0" baseline="0">
                  <a:solidFill>
                    <a:sysClr val="windowText" lastClr="000000"/>
                  </a:solidFill>
                  <a:effectLst/>
                  <a:latin typeface="Montserrat" pitchFamily="2" charset="0"/>
                  <a:ea typeface="+mn-ea"/>
                  <a:cs typeface="+mn-cs"/>
                </a:rPr>
                <a:t> and DHA in feed </a:t>
              </a:r>
              <a:r>
                <a:rPr lang="en-US" sz="1100" b="1" i="0">
                  <a:solidFill>
                    <a:sysClr val="windowText" lastClr="000000"/>
                  </a:solidFill>
                  <a:effectLst/>
                  <a:latin typeface="Montserrat" pitchFamily="2" charset="0"/>
                  <a:ea typeface="+mn-ea"/>
                  <a:cs typeface="+mn-cs"/>
                </a:rPr>
                <a:t>(% in fish oil) </a:t>
              </a:r>
              <a:r>
                <a:rPr lang="en-US" sz="1100" b="0" i="0">
                  <a:solidFill>
                    <a:sysClr val="windowText" lastClr="000000"/>
                  </a:solidFill>
                  <a:effectLst/>
                  <a:latin typeface="Montserrat" pitchFamily="2" charset="0"/>
                  <a:ea typeface="+mn-ea"/>
                  <a:cs typeface="+mn-cs"/>
                </a:rPr>
                <a:t>(Calculated field)</a:t>
              </a:r>
            </a:p>
            <a:p>
              <a:r>
                <a:rPr lang="en-NL" sz="1100" b="0">
                  <a:solidFill>
                    <a:sysClr val="windowText" lastClr="000000"/>
                  </a:solidFill>
                  <a:effectLst/>
                  <a:latin typeface="Montserrat" pitchFamily="2" charset="0"/>
                </a:rPr>
                <a:t>The EPA &amp; DHA in feed as a percentage in fish oil is automatically calculated for each species. If the fish oil content varies in different feeds used during production, a weighted average is calculated. The percentage in fish oil relate</a:t>
              </a:r>
              <a:r>
                <a:rPr lang="de-DE" sz="1100" b="0">
                  <a:solidFill>
                    <a:sysClr val="windowText" lastClr="000000"/>
                  </a:solidFill>
                  <a:effectLst/>
                  <a:latin typeface="Montserrat" pitchFamily="2" charset="0"/>
                </a:rPr>
                <a:t>s</a:t>
              </a:r>
              <a:r>
                <a:rPr lang="en-NL" sz="1100" b="0">
                  <a:solidFill>
                    <a:sysClr val="windowText" lastClr="000000"/>
                  </a:solidFill>
                  <a:effectLst/>
                  <a:latin typeface="Montserrat" pitchFamily="2" charset="0"/>
                </a:rPr>
                <a:t> to fish oil originating from forage fisheries for industrial purposes. The EPA and DHA in feed (% in fish oil) is calculated as follows:</a:t>
              </a: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pPr/>
              <a14:m>
                <m:oMathPara xmlns:m="http://schemas.openxmlformats.org/officeDocument/2006/math">
                  <m:oMathParaPr>
                    <m:jc m:val="centerGroup"/>
                  </m:oMathParaPr>
                  <m:oMath xmlns:m="http://schemas.openxmlformats.org/officeDocument/2006/math">
                    <m:r>
                      <a:rPr lang="en-NL" sz="1100" i="1">
                        <a:solidFill>
                          <a:sysClr val="windowText" lastClr="000000"/>
                        </a:solidFill>
                        <a:effectLst/>
                        <a:latin typeface="Cambria Math" panose="02040503050406030204" pitchFamily="18" charset="0"/>
                        <a:ea typeface="+mn-ea"/>
                        <a:cs typeface="+mn-cs"/>
                      </a:rPr>
                      <m:t>𝑤𝑒𝑖𝑔𝑡h𝑒𝑑</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𝐸𝑃𝐴</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𝑎𝑛𝑑</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𝐷𝐻𝐴</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𝑖𝑛</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𝑓𝑖𝑠h</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𝑜𝑖𝑙</m:t>
                    </m:r>
                    <m:r>
                      <a:rPr lang="en-NL"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NL" sz="1100" i="1">
                            <a:solidFill>
                              <a:sysClr val="windowText" lastClr="000000"/>
                            </a:solidFill>
                            <a:effectLst/>
                            <a:latin typeface="Cambria Math" panose="02040503050406030204" pitchFamily="18" charset="0"/>
                            <a:ea typeface="+mn-ea"/>
                            <a:cs typeface="+mn-cs"/>
                          </a:rPr>
                          <m:t>%</m:t>
                        </m:r>
                      </m:e>
                    </m:d>
                    <m:r>
                      <a:rPr lang="en-NL" sz="1100" i="1">
                        <a:solidFill>
                          <a:sysClr val="windowText" lastClr="000000"/>
                        </a:solidFill>
                        <a:effectLst/>
                        <a:latin typeface="Cambria Math" panose="02040503050406030204" pitchFamily="18" charset="0"/>
                        <a:ea typeface="+mn-ea"/>
                        <a:cs typeface="+mn-cs"/>
                      </a:rPr>
                      <m:t>= </m:t>
                    </m:r>
                    <m:f>
                      <m:fPr>
                        <m:ctrlPr>
                          <a:rPr lang="en-NL" sz="1100" i="1">
                            <a:solidFill>
                              <a:sysClr val="windowText" lastClr="000000"/>
                            </a:solidFill>
                            <a:effectLst/>
                            <a:latin typeface="Cambria Math" panose="02040503050406030204" pitchFamily="18" charset="0"/>
                            <a:ea typeface="+mn-ea"/>
                            <a:cs typeface="+mn-cs"/>
                          </a:rPr>
                        </m:ctrlPr>
                      </m:fPr>
                      <m:num>
                        <m:d>
                          <m:dPr>
                            <m:ctrlPr>
                              <a:rPr lang="en-NL" sz="1100" i="1">
                                <a:solidFill>
                                  <a:sysClr val="windowText" lastClr="000000"/>
                                </a:solidFill>
                                <a:effectLst/>
                                <a:latin typeface="Cambria Math" panose="02040503050406030204" pitchFamily="18" charset="0"/>
                                <a:ea typeface="+mn-ea"/>
                                <a:cs typeface="+mn-cs"/>
                              </a:rPr>
                            </m:ctrlPr>
                          </m:dPr>
                          <m:e>
                            <m:r>
                              <a:rPr lang="en-NL" sz="1100" i="1">
                                <a:solidFill>
                                  <a:sysClr val="windowText" lastClr="000000"/>
                                </a:solidFill>
                                <a:effectLst/>
                                <a:latin typeface="Cambria Math" panose="02040503050406030204" pitchFamily="18" charset="0"/>
                                <a:ea typeface="+mn-ea"/>
                                <a:cs typeface="+mn-cs"/>
                              </a:rPr>
                              <m:t>𝐸𝑃𝐴</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𝑎𝑛𝑑</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𝐷𝐻𝐴</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𝑐𝑜𝑛𝑡𝑒𝑛</m:t>
                            </m:r>
                            <m:sSub>
                              <m:sSubPr>
                                <m:ctrlPr>
                                  <a:rPr lang="en-NL" sz="1100" i="1">
                                    <a:solidFill>
                                      <a:sysClr val="windowText" lastClr="000000"/>
                                    </a:solidFill>
                                    <a:effectLst/>
                                    <a:latin typeface="Cambria Math" panose="02040503050406030204" pitchFamily="18" charset="0"/>
                                    <a:ea typeface="+mn-ea"/>
                                    <a:cs typeface="+mn-cs"/>
                                  </a:rPr>
                                </m:ctrlPr>
                              </m:sSubPr>
                              <m:e>
                                <m:r>
                                  <a:rPr lang="en-NL" sz="1100" i="1">
                                    <a:solidFill>
                                      <a:sysClr val="windowText" lastClr="000000"/>
                                    </a:solidFill>
                                    <a:effectLst/>
                                    <a:latin typeface="Cambria Math" panose="02040503050406030204" pitchFamily="18" charset="0"/>
                                    <a:ea typeface="+mn-ea"/>
                                    <a:cs typeface="+mn-cs"/>
                                  </a:rPr>
                                  <m:t>𝑡</m:t>
                                </m:r>
                              </m:e>
                              <m:sub>
                                <m:r>
                                  <a:rPr lang="en-NL" sz="1100" i="1">
                                    <a:solidFill>
                                      <a:sysClr val="windowText" lastClr="000000"/>
                                    </a:solidFill>
                                    <a:effectLst/>
                                    <a:latin typeface="Cambria Math" panose="02040503050406030204" pitchFamily="18" charset="0"/>
                                    <a:ea typeface="+mn-ea"/>
                                    <a:cs typeface="+mn-cs"/>
                                  </a:rPr>
                                  <m:t>𝑡𝑦𝑝𝑒</m:t>
                                </m:r>
                                <m:r>
                                  <a:rPr lang="en-NL" sz="1100" i="1">
                                    <a:solidFill>
                                      <a:sysClr val="windowText" lastClr="000000"/>
                                    </a:solidFill>
                                    <a:effectLst/>
                                    <a:latin typeface="Cambria Math" panose="02040503050406030204" pitchFamily="18" charset="0"/>
                                    <a:ea typeface="+mn-ea"/>
                                    <a:cs typeface="+mn-cs"/>
                                  </a:rPr>
                                  <m:t> 1</m:t>
                                </m:r>
                              </m:sub>
                            </m:sSub>
                            <m:d>
                              <m:dPr>
                                <m:ctrlPr>
                                  <a:rPr lang="en-NL" sz="1100" i="1">
                                    <a:solidFill>
                                      <a:sysClr val="windowText" lastClr="000000"/>
                                    </a:solidFill>
                                    <a:effectLst/>
                                    <a:latin typeface="Cambria Math" panose="02040503050406030204" pitchFamily="18" charset="0"/>
                                    <a:ea typeface="+mn-ea"/>
                                    <a:cs typeface="+mn-cs"/>
                                  </a:rPr>
                                </m:ctrlPr>
                              </m:dPr>
                              <m:e>
                                <m:r>
                                  <a:rPr lang="en-NL" sz="1100" i="1">
                                    <a:solidFill>
                                      <a:sysClr val="windowText" lastClr="000000"/>
                                    </a:solidFill>
                                    <a:effectLst/>
                                    <a:latin typeface="Cambria Math" panose="02040503050406030204" pitchFamily="18" charset="0"/>
                                    <a:ea typeface="+mn-ea"/>
                                    <a:cs typeface="+mn-cs"/>
                                  </a:rPr>
                                  <m:t>%</m:t>
                                </m:r>
                              </m:e>
                            </m:d>
                            <m:r>
                              <a:rPr lang="en-NL" sz="1100" i="1">
                                <a:solidFill>
                                  <a:sysClr val="windowText" lastClr="000000"/>
                                </a:solidFill>
                                <a:effectLst/>
                                <a:latin typeface="Cambria Math" panose="02040503050406030204" pitchFamily="18" charset="0"/>
                                <a:ea typeface="+mn-ea"/>
                                <a:cs typeface="+mn-cs"/>
                              </a:rPr>
                              <m:t>∗</m:t>
                            </m:r>
                            <m:r>
                              <a:rPr lang="en-NL" sz="1100" i="1">
                                <a:solidFill>
                                  <a:sysClr val="windowText" lastClr="000000"/>
                                </a:solidFill>
                                <a:effectLst/>
                                <a:latin typeface="Cambria Math" panose="02040503050406030204" pitchFamily="18" charset="0"/>
                                <a:ea typeface="+mn-ea"/>
                                <a:cs typeface="+mn-cs"/>
                              </a:rPr>
                              <m:t>𝑓𝑒𝑒𝑑</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𝑢𝑠</m:t>
                            </m:r>
                            <m:sSub>
                              <m:sSubPr>
                                <m:ctrlPr>
                                  <a:rPr lang="en-NL" sz="1100" i="1">
                                    <a:solidFill>
                                      <a:sysClr val="windowText" lastClr="000000"/>
                                    </a:solidFill>
                                    <a:effectLst/>
                                    <a:latin typeface="Cambria Math" panose="02040503050406030204" pitchFamily="18" charset="0"/>
                                    <a:ea typeface="+mn-ea"/>
                                    <a:cs typeface="+mn-cs"/>
                                  </a:rPr>
                                </m:ctrlPr>
                              </m:sSubPr>
                              <m:e>
                                <m:r>
                                  <a:rPr lang="en-NL" sz="1100" i="1">
                                    <a:solidFill>
                                      <a:sysClr val="windowText" lastClr="000000"/>
                                    </a:solidFill>
                                    <a:effectLst/>
                                    <a:latin typeface="Cambria Math" panose="02040503050406030204" pitchFamily="18" charset="0"/>
                                    <a:ea typeface="+mn-ea"/>
                                    <a:cs typeface="+mn-cs"/>
                                  </a:rPr>
                                  <m:t>𝑒</m:t>
                                </m:r>
                              </m:e>
                              <m:sub>
                                <m:r>
                                  <a:rPr lang="en-NL" sz="1100" i="1">
                                    <a:solidFill>
                                      <a:sysClr val="windowText" lastClr="000000"/>
                                    </a:solidFill>
                                    <a:effectLst/>
                                    <a:latin typeface="Cambria Math" panose="02040503050406030204" pitchFamily="18" charset="0"/>
                                    <a:ea typeface="+mn-ea"/>
                                    <a:cs typeface="+mn-cs"/>
                                  </a:rPr>
                                  <m:t>𝑡𝑦𝑝𝑒</m:t>
                                </m:r>
                                <m:r>
                                  <a:rPr lang="en-NL" sz="1100" i="1">
                                    <a:solidFill>
                                      <a:sysClr val="windowText" lastClr="000000"/>
                                    </a:solidFill>
                                    <a:effectLst/>
                                    <a:latin typeface="Cambria Math" panose="02040503050406030204" pitchFamily="18" charset="0"/>
                                    <a:ea typeface="+mn-ea"/>
                                    <a:cs typeface="+mn-cs"/>
                                  </a:rPr>
                                  <m:t> 1</m:t>
                                </m:r>
                              </m:sub>
                            </m:sSub>
                            <m:d>
                              <m:dPr>
                                <m:ctrlPr>
                                  <a:rPr lang="en-NL" sz="1100" i="1">
                                    <a:solidFill>
                                      <a:sysClr val="windowText" lastClr="000000"/>
                                    </a:solidFill>
                                    <a:effectLst/>
                                    <a:latin typeface="Cambria Math" panose="02040503050406030204" pitchFamily="18" charset="0"/>
                                    <a:ea typeface="+mn-ea"/>
                                    <a:cs typeface="+mn-cs"/>
                                  </a:rPr>
                                </m:ctrlPr>
                              </m:dPr>
                              <m:e>
                                <m:r>
                                  <a:rPr lang="en-NL" sz="1100" i="1">
                                    <a:solidFill>
                                      <a:sysClr val="windowText" lastClr="000000"/>
                                    </a:solidFill>
                                    <a:effectLst/>
                                    <a:latin typeface="Cambria Math" panose="02040503050406030204" pitchFamily="18" charset="0"/>
                                    <a:ea typeface="+mn-ea"/>
                                    <a:cs typeface="+mn-cs"/>
                                  </a:rPr>
                                  <m:t>𝑡𝑜𝑛𝑛𝑒𝑠</m:t>
                                </m:r>
                              </m:e>
                            </m:d>
                          </m:e>
                        </m:d>
                        <m:r>
                          <a:rPr lang="en-NL" sz="1100" i="1">
                            <a:solidFill>
                              <a:sysClr val="windowText" lastClr="000000"/>
                            </a:solidFill>
                            <a:effectLst/>
                            <a:latin typeface="Cambria Math" panose="02040503050406030204" pitchFamily="18" charset="0"/>
                            <a:ea typeface="+mn-ea"/>
                            <a:cs typeface="+mn-cs"/>
                          </a:rPr>
                          <m:t>+</m:t>
                        </m:r>
                        <m:d>
                          <m:dPr>
                            <m:ctrlPr>
                              <a:rPr lang="en-NL" sz="1100" i="1">
                                <a:solidFill>
                                  <a:sysClr val="windowText" lastClr="000000"/>
                                </a:solidFill>
                                <a:effectLst/>
                                <a:latin typeface="Cambria Math" panose="02040503050406030204" pitchFamily="18" charset="0"/>
                                <a:ea typeface="+mn-ea"/>
                                <a:cs typeface="+mn-cs"/>
                              </a:rPr>
                            </m:ctrlPr>
                          </m:dPr>
                          <m:e>
                            <m:r>
                              <a:rPr lang="en-NL" sz="1100" i="1">
                                <a:solidFill>
                                  <a:sysClr val="windowText" lastClr="000000"/>
                                </a:solidFill>
                                <a:effectLst/>
                                <a:latin typeface="Cambria Math" panose="02040503050406030204" pitchFamily="18" charset="0"/>
                                <a:ea typeface="+mn-ea"/>
                                <a:cs typeface="+mn-cs"/>
                              </a:rPr>
                              <m:t>𝐸𝑃𝐴</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𝑎𝑛𝑑</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𝐷𝐻𝐴</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𝑐𝑜𝑛𝑡𝑒𝑛</m:t>
                            </m:r>
                            <m:sSub>
                              <m:sSubPr>
                                <m:ctrlPr>
                                  <a:rPr lang="en-NL" sz="1100" i="1">
                                    <a:solidFill>
                                      <a:sysClr val="windowText" lastClr="000000"/>
                                    </a:solidFill>
                                    <a:effectLst/>
                                    <a:latin typeface="Cambria Math" panose="02040503050406030204" pitchFamily="18" charset="0"/>
                                    <a:ea typeface="+mn-ea"/>
                                    <a:cs typeface="+mn-cs"/>
                                  </a:rPr>
                                </m:ctrlPr>
                              </m:sSubPr>
                              <m:e>
                                <m:r>
                                  <a:rPr lang="en-NL" sz="1100" i="1">
                                    <a:solidFill>
                                      <a:sysClr val="windowText" lastClr="000000"/>
                                    </a:solidFill>
                                    <a:effectLst/>
                                    <a:latin typeface="Cambria Math" panose="02040503050406030204" pitchFamily="18" charset="0"/>
                                    <a:ea typeface="+mn-ea"/>
                                    <a:cs typeface="+mn-cs"/>
                                  </a:rPr>
                                  <m:t>𝑡</m:t>
                                </m:r>
                              </m:e>
                              <m:sub>
                                <m:r>
                                  <a:rPr lang="en-NL" sz="1100" i="1">
                                    <a:solidFill>
                                      <a:sysClr val="windowText" lastClr="000000"/>
                                    </a:solidFill>
                                    <a:effectLst/>
                                    <a:latin typeface="Cambria Math" panose="02040503050406030204" pitchFamily="18" charset="0"/>
                                    <a:ea typeface="+mn-ea"/>
                                    <a:cs typeface="+mn-cs"/>
                                  </a:rPr>
                                  <m:t>𝑡𝑦𝑝𝑒</m:t>
                                </m:r>
                                <m:r>
                                  <a:rPr lang="en-NL" sz="1100" i="1">
                                    <a:solidFill>
                                      <a:sysClr val="windowText" lastClr="000000"/>
                                    </a:solidFill>
                                    <a:effectLst/>
                                    <a:latin typeface="Cambria Math" panose="02040503050406030204" pitchFamily="18" charset="0"/>
                                    <a:ea typeface="+mn-ea"/>
                                    <a:cs typeface="+mn-cs"/>
                                  </a:rPr>
                                  <m:t> 2</m:t>
                                </m:r>
                              </m:sub>
                            </m:sSub>
                            <m:d>
                              <m:dPr>
                                <m:ctrlPr>
                                  <a:rPr lang="en-NL" sz="1100" i="1">
                                    <a:solidFill>
                                      <a:sysClr val="windowText" lastClr="000000"/>
                                    </a:solidFill>
                                    <a:effectLst/>
                                    <a:latin typeface="Cambria Math" panose="02040503050406030204" pitchFamily="18" charset="0"/>
                                    <a:ea typeface="+mn-ea"/>
                                    <a:cs typeface="+mn-cs"/>
                                  </a:rPr>
                                </m:ctrlPr>
                              </m:dPr>
                              <m:e>
                                <m:r>
                                  <a:rPr lang="en-NL" sz="1100" i="1">
                                    <a:solidFill>
                                      <a:sysClr val="windowText" lastClr="000000"/>
                                    </a:solidFill>
                                    <a:effectLst/>
                                    <a:latin typeface="Cambria Math" panose="02040503050406030204" pitchFamily="18" charset="0"/>
                                    <a:ea typeface="+mn-ea"/>
                                    <a:cs typeface="+mn-cs"/>
                                  </a:rPr>
                                  <m:t>%</m:t>
                                </m:r>
                              </m:e>
                            </m:d>
                            <m:r>
                              <a:rPr lang="en-NL" sz="1100" i="1">
                                <a:solidFill>
                                  <a:sysClr val="windowText" lastClr="000000"/>
                                </a:solidFill>
                                <a:effectLst/>
                                <a:latin typeface="Cambria Math" panose="02040503050406030204" pitchFamily="18" charset="0"/>
                                <a:ea typeface="+mn-ea"/>
                                <a:cs typeface="+mn-cs"/>
                              </a:rPr>
                              <m:t>∗</m:t>
                            </m:r>
                            <m:r>
                              <a:rPr lang="en-NL" sz="1100" i="1">
                                <a:solidFill>
                                  <a:sysClr val="windowText" lastClr="000000"/>
                                </a:solidFill>
                                <a:effectLst/>
                                <a:latin typeface="Cambria Math" panose="02040503050406030204" pitchFamily="18" charset="0"/>
                                <a:ea typeface="+mn-ea"/>
                                <a:cs typeface="+mn-cs"/>
                              </a:rPr>
                              <m:t>𝑓𝑒𝑒𝑑</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𝑢𝑠</m:t>
                            </m:r>
                            <m:sSub>
                              <m:sSubPr>
                                <m:ctrlPr>
                                  <a:rPr lang="en-NL" sz="1100" i="1">
                                    <a:solidFill>
                                      <a:sysClr val="windowText" lastClr="000000"/>
                                    </a:solidFill>
                                    <a:effectLst/>
                                    <a:latin typeface="Cambria Math" panose="02040503050406030204" pitchFamily="18" charset="0"/>
                                    <a:ea typeface="+mn-ea"/>
                                    <a:cs typeface="+mn-cs"/>
                                  </a:rPr>
                                </m:ctrlPr>
                              </m:sSubPr>
                              <m:e>
                                <m:r>
                                  <a:rPr lang="en-NL" sz="1100" i="1">
                                    <a:solidFill>
                                      <a:sysClr val="windowText" lastClr="000000"/>
                                    </a:solidFill>
                                    <a:effectLst/>
                                    <a:latin typeface="Cambria Math" panose="02040503050406030204" pitchFamily="18" charset="0"/>
                                    <a:ea typeface="+mn-ea"/>
                                    <a:cs typeface="+mn-cs"/>
                                  </a:rPr>
                                  <m:t>𝑒</m:t>
                                </m:r>
                              </m:e>
                              <m:sub>
                                <m:r>
                                  <a:rPr lang="en-NL" sz="1100" i="1">
                                    <a:solidFill>
                                      <a:sysClr val="windowText" lastClr="000000"/>
                                    </a:solidFill>
                                    <a:effectLst/>
                                    <a:latin typeface="Cambria Math" panose="02040503050406030204" pitchFamily="18" charset="0"/>
                                    <a:ea typeface="+mn-ea"/>
                                    <a:cs typeface="+mn-cs"/>
                                  </a:rPr>
                                  <m:t>𝑡𝑦𝑝𝑒</m:t>
                                </m:r>
                                <m:r>
                                  <a:rPr lang="en-NL" sz="1100" i="1">
                                    <a:solidFill>
                                      <a:sysClr val="windowText" lastClr="000000"/>
                                    </a:solidFill>
                                    <a:effectLst/>
                                    <a:latin typeface="Cambria Math" panose="02040503050406030204" pitchFamily="18" charset="0"/>
                                    <a:ea typeface="+mn-ea"/>
                                    <a:cs typeface="+mn-cs"/>
                                  </a:rPr>
                                  <m:t> 2</m:t>
                                </m:r>
                              </m:sub>
                            </m:sSub>
                            <m:d>
                              <m:dPr>
                                <m:ctrlPr>
                                  <a:rPr lang="en-NL" sz="1100" i="1">
                                    <a:solidFill>
                                      <a:sysClr val="windowText" lastClr="000000"/>
                                    </a:solidFill>
                                    <a:effectLst/>
                                    <a:latin typeface="Cambria Math" panose="02040503050406030204" pitchFamily="18" charset="0"/>
                                    <a:ea typeface="+mn-ea"/>
                                    <a:cs typeface="+mn-cs"/>
                                  </a:rPr>
                                </m:ctrlPr>
                              </m:dPr>
                              <m:e>
                                <m:r>
                                  <a:rPr lang="en-NL" sz="1100" i="1">
                                    <a:solidFill>
                                      <a:sysClr val="windowText" lastClr="000000"/>
                                    </a:solidFill>
                                    <a:effectLst/>
                                    <a:latin typeface="Cambria Math" panose="02040503050406030204" pitchFamily="18" charset="0"/>
                                    <a:ea typeface="+mn-ea"/>
                                    <a:cs typeface="+mn-cs"/>
                                  </a:rPr>
                                  <m:t>𝑡𝑜𝑛𝑛𝑒𝑠</m:t>
                                </m:r>
                              </m:e>
                            </m:d>
                          </m:e>
                        </m:d>
                        <m:r>
                          <a:rPr lang="en-NL" sz="1100" i="1">
                            <a:solidFill>
                              <a:sysClr val="windowText" lastClr="000000"/>
                            </a:solidFill>
                            <a:effectLst/>
                            <a:latin typeface="Cambria Math" panose="02040503050406030204" pitchFamily="18" charset="0"/>
                            <a:ea typeface="+mn-ea"/>
                            <a:cs typeface="+mn-cs"/>
                          </a:rPr>
                          <m:t>+</m:t>
                        </m:r>
                        <m:r>
                          <a:rPr lang="en-NL" sz="1100" i="1">
                            <a:solidFill>
                              <a:sysClr val="windowText" lastClr="000000"/>
                            </a:solidFill>
                            <a:effectLst/>
                            <a:latin typeface="Cambria Math" panose="02040503050406030204" pitchFamily="18" charset="0"/>
                            <a:ea typeface="+mn-ea"/>
                            <a:cs typeface="+mn-cs"/>
                          </a:rPr>
                          <m:t>𝑒𝑡𝑐</m:t>
                        </m:r>
                      </m:num>
                      <m:den>
                        <m:r>
                          <a:rPr lang="en-NL" sz="1100" i="1">
                            <a:solidFill>
                              <a:sysClr val="windowText" lastClr="000000"/>
                            </a:solidFill>
                            <a:effectLst/>
                            <a:latin typeface="Cambria Math" panose="02040503050406030204" pitchFamily="18" charset="0"/>
                            <a:ea typeface="+mn-ea"/>
                            <a:cs typeface="+mn-cs"/>
                          </a:rPr>
                          <m:t>𝑡𝑜𝑡𝑎𝑙</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𝑓𝑒𝑒𝑑</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𝑢𝑠𝑒</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𝑡𝑜𝑛𝑛𝑒𝑠</m:t>
                        </m:r>
                        <m:r>
                          <a:rPr lang="en-US" sz="1100" b="0" i="1">
                            <a:solidFill>
                              <a:sysClr val="windowText" lastClr="000000"/>
                            </a:solidFill>
                            <a:effectLst/>
                            <a:latin typeface="Cambria Math" panose="02040503050406030204" pitchFamily="18" charset="0"/>
                            <a:ea typeface="+mn-ea"/>
                            <a:cs typeface="+mn-cs"/>
                          </a:rPr>
                          <m:t>)</m:t>
                        </m:r>
                      </m:den>
                    </m:f>
                  </m:oMath>
                </m:oMathPara>
              </a14:m>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endParaRPr lang="en-US" sz="1100" b="0" i="0" u="none" strike="noStrike">
                <a:solidFill>
                  <a:sysClr val="windowText" lastClr="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endParaRPr lang="en-US" sz="1100" b="0" i="0" u="none" strike="noStrike">
                <a:solidFill>
                  <a:srgbClr val="000000"/>
                </a:solidFill>
                <a:latin typeface="Montserrat" panose="00000500000000000000" pitchFamily="2" charset="0"/>
                <a:cs typeface="Calibri" panose="020F0502020204030204" pitchFamily="34" charset="0"/>
              </a:endParaRPr>
            </a:p>
          </xdr:txBody>
        </xdr:sp>
      </mc:Choice>
      <mc:Fallback xmlns="">
        <xdr:sp macro="" textlink="">
          <xdr:nvSpPr>
            <xdr:cNvPr id="2" name="Rectangle 2">
              <a:extLst>
                <a:ext uri="{FF2B5EF4-FFF2-40B4-BE49-F238E27FC236}">
                  <a16:creationId xmlns:a16="http://schemas.microsoft.com/office/drawing/2014/main" id="{8508ABD6-1F1C-4A65-A3FD-03AC4D963A9A}"/>
                </a:ext>
              </a:extLst>
            </xdr:cNvPr>
            <xdr:cNvSpPr/>
          </xdr:nvSpPr>
          <xdr:spPr>
            <a:xfrm>
              <a:off x="31777780" y="428625"/>
              <a:ext cx="8201705" cy="29170313"/>
            </a:xfrm>
            <a:prstGeom prst="rect">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91440" tIns="45720" rIns="91440" bIns="45720" rtlCol="0" anchor="t">
              <a:noAutofit/>
            </a:bodyPr>
            <a:lstStyle/>
            <a:p>
              <a:r>
                <a:rPr lang="en-US" sz="1100" b="1" i="0">
                  <a:solidFill>
                    <a:schemeClr val="tx1"/>
                  </a:solidFill>
                  <a:effectLst/>
                  <a:latin typeface="Montserrat" panose="00000500000000000000" pitchFamily="2" charset="0"/>
                  <a:ea typeface="+mn-ea"/>
                  <a:cs typeface="+mn-cs"/>
                </a:rPr>
                <a:t>USER GUIDANCE</a:t>
              </a:r>
              <a:endParaRPr lang="en-US" sz="1100" b="0" i="0" baseline="0">
                <a:solidFill>
                  <a:sysClr val="windowText" lastClr="000000"/>
                </a:solidFill>
                <a:effectLst/>
                <a:latin typeface="Montserrat" panose="00000500000000000000" pitchFamily="2" charset="0"/>
                <a:ea typeface="+mn-ea"/>
                <a:cs typeface="+mn-cs"/>
              </a:endParaRPr>
            </a:p>
            <a:p>
              <a:r>
                <a:rPr lang="en-US" sz="1100" b="0" i="0" baseline="0">
                  <a:solidFill>
                    <a:sysClr val="windowText" lastClr="000000"/>
                  </a:solidFill>
                  <a:effectLst/>
                  <a:latin typeface="Montserrat" panose="00000500000000000000" pitchFamily="2" charset="0"/>
                  <a:ea typeface="+mn-ea"/>
                  <a:cs typeface="+mn-cs"/>
                </a:rPr>
                <a:t>Report in table 2 the feed use of each feed type listed in table 1, during the production period of each species at the </a:t>
              </a:r>
              <a:r>
                <a:rPr lang="en-US" sz="1100" b="0" i="0">
                  <a:solidFill>
                    <a:sysClr val="windowText" lastClr="000000"/>
                  </a:solidFill>
                  <a:effectLst/>
                  <a:latin typeface="Montserrat" panose="00000500000000000000" pitchFamily="2" charset="0"/>
                  <a:ea typeface="+mn-ea"/>
                  <a:cs typeface="+mn-cs"/>
                </a:rPr>
                <a:t>ASC</a:t>
              </a:r>
              <a:r>
                <a:rPr lang="en-US" sz="1100" b="0" i="0" baseline="0">
                  <a:solidFill>
                    <a:sysClr val="windowText" lastClr="000000"/>
                  </a:solidFill>
                  <a:effectLst/>
                  <a:latin typeface="Montserrat" panose="00000500000000000000" pitchFamily="2" charset="0"/>
                  <a:ea typeface="+mn-ea"/>
                  <a:cs typeface="+mn-cs"/>
                </a:rPr>
                <a:t> </a:t>
              </a:r>
              <a:r>
                <a:rPr lang="en-US" sz="1100" b="0" i="1" baseline="0">
                  <a:solidFill>
                    <a:sysClr val="windowText" lastClr="000000"/>
                  </a:solidFill>
                  <a:effectLst/>
                  <a:latin typeface="Montserrat" panose="00000500000000000000" pitchFamily="2" charset="0"/>
                  <a:ea typeface="+mn-ea"/>
                  <a:cs typeface="+mn-cs"/>
                </a:rPr>
                <a:t>certified</a:t>
              </a:r>
              <a:r>
                <a:rPr lang="en-US" sz="1100" b="0" i="0" baseline="0">
                  <a:solidFill>
                    <a:sysClr val="windowText" lastClr="000000"/>
                  </a:solidFill>
                  <a:effectLst/>
                  <a:latin typeface="Montserrat" panose="00000500000000000000" pitchFamily="2" charset="0"/>
                  <a:ea typeface="+mn-ea"/>
                  <a:cs typeface="+mn-cs"/>
                </a:rPr>
                <a:t> or </a:t>
              </a:r>
              <a:r>
                <a:rPr lang="en-US" sz="1100" b="0" i="1" baseline="0">
                  <a:solidFill>
                    <a:sysClr val="windowText" lastClr="000000"/>
                  </a:solidFill>
                  <a:effectLst/>
                  <a:latin typeface="Montserrat" panose="00000500000000000000" pitchFamily="2" charset="0"/>
                  <a:ea typeface="+mn-ea"/>
                  <a:cs typeface="+mn-cs"/>
                </a:rPr>
                <a:t>suspended</a:t>
              </a:r>
              <a:r>
                <a:rPr lang="en-US" sz="1100" b="0" i="0" baseline="0">
                  <a:solidFill>
                    <a:sysClr val="windowText" lastClr="000000"/>
                  </a:solidFill>
                  <a:effectLst/>
                  <a:latin typeface="Montserrat" panose="00000500000000000000" pitchFamily="2" charset="0"/>
                  <a:ea typeface="+mn-ea"/>
                  <a:cs typeface="+mn-cs"/>
                </a:rPr>
                <a:t> farm site. </a:t>
              </a:r>
              <a:r>
                <a:rPr lang="en-US" sz="1100" b="0" i="0">
                  <a:solidFill>
                    <a:sysClr val="windowText" lastClr="000000"/>
                  </a:solidFill>
                  <a:effectLst/>
                  <a:latin typeface="Montserrat" panose="00000500000000000000" pitchFamily="2" charset="0"/>
                  <a:ea typeface="+mn-ea"/>
                  <a:cs typeface="+mn-cs"/>
                </a:rPr>
                <a:t>Consider feed use during the indicated production</a:t>
              </a:r>
              <a:r>
                <a:rPr lang="en-US" sz="1100" b="0" i="0" baseline="0">
                  <a:solidFill>
                    <a:sysClr val="windowText" lastClr="000000"/>
                  </a:solidFill>
                  <a:effectLst/>
                  <a:latin typeface="Montserrat" panose="00000500000000000000" pitchFamily="2" charset="0"/>
                  <a:ea typeface="+mn-ea"/>
                  <a:cs typeface="+mn-cs"/>
                </a:rPr>
                <a:t> period for </a:t>
              </a:r>
              <a:r>
                <a:rPr lang="en-US" sz="1100" b="0" i="0">
                  <a:solidFill>
                    <a:sysClr val="windowText" lastClr="000000"/>
                  </a:solidFill>
                  <a:effectLst/>
                  <a:latin typeface="Montserrat" panose="00000500000000000000" pitchFamily="2" charset="0"/>
                  <a:ea typeface="+mn-ea"/>
                  <a:cs typeface="+mn-cs"/>
                </a:rPr>
                <a:t>the ASC</a:t>
              </a:r>
              <a:r>
                <a:rPr lang="en-US" sz="1100" b="0" i="0" baseline="0">
                  <a:solidFill>
                    <a:sysClr val="windowText" lastClr="000000"/>
                  </a:solidFill>
                  <a:effectLst/>
                  <a:latin typeface="Montserrat" panose="00000500000000000000" pitchFamily="2" charset="0"/>
                  <a:ea typeface="+mn-ea"/>
                  <a:cs typeface="+mn-cs"/>
                </a:rPr>
                <a:t> certified </a:t>
              </a:r>
              <a:r>
                <a:rPr lang="en-US" sz="1100" b="0" i="0" baseline="0">
                  <a:solidFill>
                    <a:schemeClr val="tx1"/>
                  </a:solidFill>
                  <a:effectLst/>
                  <a:latin typeface="Montserrat" panose="00000500000000000000" pitchFamily="2" charset="0"/>
                  <a:ea typeface="+mn-ea"/>
                  <a:cs typeface="+mn-cs"/>
                </a:rPr>
                <a:t>production volume only, as reported in 'Site and production details'.</a:t>
              </a:r>
              <a:endParaRPr lang="en-NL" sz="1100">
                <a:solidFill>
                  <a:schemeClr val="tx1"/>
                </a:solidFill>
                <a:effectLst/>
                <a:latin typeface="Montserrat" panose="00000500000000000000" pitchFamily="2" charset="0"/>
              </a:endParaRPr>
            </a:p>
            <a:p>
              <a:r>
                <a:rPr lang="en-US" sz="1100" b="0" i="0" baseline="0">
                  <a:solidFill>
                    <a:schemeClr val="tx1"/>
                  </a:solidFill>
                  <a:effectLst/>
                  <a:latin typeface="Montserrat" panose="00000500000000000000" pitchFamily="2" charset="0"/>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chemeClr val="tx1"/>
                  </a:solidFill>
                  <a:effectLst/>
                  <a:latin typeface="Montserrat" panose="00000500000000000000" pitchFamily="2" charset="0"/>
                  <a:ea typeface="+mn-ea"/>
                  <a:cs typeface="+mn-cs"/>
                </a:rPr>
                <a:t>Report in t</a:t>
              </a:r>
              <a:r>
                <a:rPr lang="en-US" sz="1100" b="0" i="0" baseline="0">
                  <a:solidFill>
                    <a:sysClr val="windowText" lastClr="000000"/>
                  </a:solidFill>
                  <a:effectLst/>
                  <a:latin typeface="Montserrat" panose="00000500000000000000" pitchFamily="2" charset="0"/>
                  <a:ea typeface="+mn-ea"/>
                  <a:cs typeface="+mn-cs"/>
                </a:rPr>
                <a:t>able 3 the </a:t>
              </a:r>
              <a:r>
                <a:rPr lang="en-US" sz="1100" b="0" i="0">
                  <a:solidFill>
                    <a:sysClr val="windowText" lastClr="000000"/>
                  </a:solidFill>
                  <a:effectLst/>
                  <a:latin typeface="Montserrat" panose="00000500000000000000" pitchFamily="2" charset="0"/>
                  <a:ea typeface="+mn-ea"/>
                  <a:cs typeface="+mn-cs"/>
                </a:rPr>
                <a:t>crude protein content at </a:t>
              </a:r>
              <a:r>
                <a:rPr lang="en-US" sz="1100" b="0" i="0" baseline="0">
                  <a:solidFill>
                    <a:schemeClr val="tx1"/>
                  </a:solidFill>
                  <a:effectLst/>
                  <a:latin typeface="Montserrat" panose="00000500000000000000" pitchFamily="2" charset="0"/>
                  <a:ea typeface="+mn-ea"/>
                  <a:cs typeface="+mn-cs"/>
                </a:rPr>
                <a:t>harvest of each species in production.</a:t>
              </a:r>
            </a:p>
            <a:p>
              <a:endParaRPr lang="en-US" sz="1100" b="0" i="0" baseline="0">
                <a:solidFill>
                  <a:schemeClr val="tx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chemeClr val="tx1"/>
                  </a:solidFill>
                  <a:effectLst/>
                  <a:latin typeface="Montserrat" panose="00000500000000000000" pitchFamily="2" charset="0"/>
                  <a:ea typeface="+mn-ea"/>
                  <a:cs typeface="+mn-cs"/>
                </a:rPr>
                <a:t>In table 4 the weighted average feed efficiency values (based on relative feed use) are calculated per species per farm site (thus not per production cycle) over the net production volume in the reporting year using the information provided in table 1, 2 and 3, </a:t>
              </a:r>
              <a:r>
                <a:rPr lang="en-US" sz="1100" b="0" i="0" baseline="0">
                  <a:solidFill>
                    <a:sysClr val="windowText" lastClr="000000"/>
                  </a:solidFill>
                  <a:effectLst/>
                  <a:latin typeface="Montserrat" panose="00000500000000000000" pitchFamily="2" charset="0"/>
                  <a:ea typeface="+mn-ea"/>
                  <a:cs typeface="+mn-cs"/>
                </a:rPr>
                <a:t>respectively. The ASC certified net production volume is calculated from data provided in the 'Site and production details' tab.</a:t>
              </a:r>
              <a:r>
                <a:rPr lang="de-DE" sz="1100" b="0" i="0" baseline="0">
                  <a:solidFill>
                    <a:sysClr val="windowText" lastClr="000000"/>
                  </a:solidFill>
                  <a:effectLst/>
                  <a:latin typeface="Montserrat" panose="00000500000000000000" pitchFamily="2" charset="0"/>
                  <a:ea typeface="+mn-ea"/>
                  <a:cs typeface="+mn-cs"/>
                </a:rPr>
                <a:t> </a:t>
              </a:r>
              <a:r>
                <a:rPr lang="en-US" sz="1100" b="0" i="0" baseline="0">
                  <a:solidFill>
                    <a:sysClr val="windowText" lastClr="000000"/>
                  </a:solidFill>
                  <a:effectLst/>
                  <a:latin typeface="Montserrat" panose="00000500000000000000" pitchFamily="2" charset="0"/>
                  <a:ea typeface="+mn-ea"/>
                  <a:cs typeface="+mn-cs"/>
                </a:rPr>
                <a:t>The feed efficiency values that are calculated are the weighted average economic f</a:t>
              </a:r>
              <a:r>
                <a:rPr lang="en-US" sz="1100" b="0" i="0">
                  <a:solidFill>
                    <a:sysClr val="windowText" lastClr="000000"/>
                  </a:solidFill>
                  <a:effectLst/>
                  <a:latin typeface="Montserrat" panose="00000500000000000000" pitchFamily="2" charset="0"/>
                  <a:ea typeface="+mn-ea"/>
                  <a:cs typeface="+mn-cs"/>
                </a:rPr>
                <a:t>eed conversion ratio (eFCR), the protein</a:t>
              </a:r>
              <a:r>
                <a:rPr lang="en-US" sz="1100" b="0" i="0" baseline="0">
                  <a:solidFill>
                    <a:sysClr val="windowText" lastClr="000000"/>
                  </a:solidFill>
                  <a:effectLst/>
                  <a:latin typeface="Montserrat" panose="00000500000000000000" pitchFamily="2" charset="0"/>
                  <a:ea typeface="+mn-ea"/>
                  <a:cs typeface="+mn-cs"/>
                </a:rPr>
                <a:t> retention efficiency (PRE),</a:t>
              </a:r>
              <a:r>
                <a:rPr lang="en-US" sz="1100" b="0" i="0">
                  <a:solidFill>
                    <a:sysClr val="windowText" lastClr="000000"/>
                  </a:solidFill>
                  <a:effectLst/>
                  <a:latin typeface="Montserrat" panose="00000500000000000000" pitchFamily="2" charset="0"/>
                  <a:ea typeface="+mn-ea"/>
                  <a:cs typeface="+mn-cs"/>
                </a:rPr>
                <a:t> the forage fish dependency ratio for fishmeal (FFDRm) and fish oil (FFDRo) and the weighted EPA and DHA content</a:t>
              </a:r>
              <a:r>
                <a:rPr lang="en-US" sz="1100" b="0" i="0" baseline="0">
                  <a:solidFill>
                    <a:sysClr val="windowText" lastClr="000000"/>
                  </a:solidFill>
                  <a:effectLst/>
                  <a:latin typeface="Montserrat" panose="00000500000000000000" pitchFamily="2" charset="0"/>
                  <a:ea typeface="+mn-ea"/>
                  <a:cs typeface="+mn-cs"/>
                </a:rPr>
                <a:t> of feed and fish oil</a:t>
              </a:r>
              <a:r>
                <a:rPr lang="en-US" sz="1100" b="0" i="0">
                  <a:solidFill>
                    <a:sysClr val="windowText" lastClr="000000"/>
                  </a:solidFill>
                  <a:effectLst/>
                  <a:latin typeface="Montserrat" panose="00000500000000000000" pitchFamily="2" charset="0"/>
                  <a:ea typeface="+mn-ea"/>
                  <a:cs typeface="+mn-cs"/>
                </a:rPr>
                <a:t> from direct marine sources. </a:t>
              </a:r>
            </a:p>
            <a:p>
              <a:endParaRPr lang="en-US" sz="1100" b="0" i="0" u="none" strike="noStrike">
                <a:solidFill>
                  <a:sysClr val="windowText" lastClr="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sng" strike="noStrike">
                  <a:solidFill>
                    <a:sysClr val="windowText" lastClr="000000"/>
                  </a:solidFill>
                  <a:latin typeface="Montserrat" panose="00000500000000000000" pitchFamily="2" charset="0"/>
                  <a:cs typeface="Calibri" panose="020F0502020204030204" pitchFamily="34" charset="0"/>
                </a:rPr>
                <a:t>TABLE 1. Feed</a:t>
              </a:r>
              <a:r>
                <a:rPr lang="en-US" sz="1100" b="1" i="0" u="sng" strike="noStrike" baseline="0">
                  <a:solidFill>
                    <a:sysClr val="windowText" lastClr="000000"/>
                  </a:solidFill>
                  <a:latin typeface="Montserrat" panose="00000500000000000000" pitchFamily="2" charset="0"/>
                  <a:cs typeface="Calibri" panose="020F0502020204030204" pitchFamily="34" charset="0"/>
                </a:rPr>
                <a:t> name and properties</a:t>
              </a: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i="0" u="none" strike="noStrike" baseline="0">
                  <a:solidFill>
                    <a:sysClr val="windowText" lastClr="000000"/>
                  </a:solidFill>
                  <a:latin typeface="Montserrat" panose="00000500000000000000" pitchFamily="2" charset="0"/>
                  <a:cs typeface="Calibri" panose="020F0502020204030204" pitchFamily="34" charset="0"/>
                </a:rPr>
                <a:t>Feed name </a:t>
              </a:r>
              <a:r>
                <a:rPr lang="en-US" sz="1100">
                  <a:solidFill>
                    <a:sysClr val="windowText" lastClr="000000"/>
                  </a:solidFill>
                  <a:effectLst/>
                  <a:latin typeface="Montserrat" panose="00000500000000000000" pitchFamily="2" charset="0"/>
                  <a:ea typeface="+mn-ea"/>
                  <a:cs typeface="+mn-cs"/>
                </a:rPr>
                <a:t>(Mandatory field)</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r>
                <a:rPr lang="en-US" sz="1100" b="0" i="0" u="none" strike="noStrike" baseline="0">
                  <a:solidFill>
                    <a:sysClr val="windowText" lastClr="000000"/>
                  </a:solidFill>
                  <a:latin typeface="Montserrat" panose="00000500000000000000" pitchFamily="2" charset="0"/>
                  <a:cs typeface="Calibri" panose="020F0502020204030204" pitchFamily="34" charset="0"/>
                </a:rPr>
                <a:t>Provide here the name of each feed type that was used during the production period of concern.</a:t>
              </a:r>
            </a:p>
            <a:p>
              <a:pPr marL="0" marR="0" lvl="0" indent="0" algn="l" defTabSz="914400" eaLnBrk="1" fontAlgn="auto" latinLnBrk="0" hangingPunct="1">
                <a:lnSpc>
                  <a:spcPct val="100000"/>
                </a:lnSpc>
                <a:spcBef>
                  <a:spcPts val="0"/>
                </a:spcBef>
                <a:spcAft>
                  <a:spcPts val="0"/>
                </a:spcAft>
                <a:buClrTx/>
                <a:buSzTx/>
                <a:buFontTx/>
                <a:buNone/>
                <a:tabLst/>
                <a:defRPr/>
              </a:pPr>
              <a:endParaRPr lang="en-US" sz="1100">
                <a:solidFill>
                  <a:sysClr val="windowText" lastClr="000000"/>
                </a:solidFill>
                <a:effectLst/>
                <a:latin typeface="Montserrat" panose="00000500000000000000" pitchFamily="2" charset="0"/>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i="0" u="none" strike="noStrike" baseline="0">
                  <a:solidFill>
                    <a:sysClr val="windowText" lastClr="000000"/>
                  </a:solidFill>
                  <a:latin typeface="Montserrat" panose="00000500000000000000" pitchFamily="2" charset="0"/>
                  <a:cs typeface="Calibri" panose="020F0502020204030204" pitchFamily="34" charset="0"/>
                </a:rPr>
                <a:t>Product ID </a:t>
              </a:r>
              <a:r>
                <a:rPr lang="en-US" sz="1100">
                  <a:solidFill>
                    <a:sysClr val="windowText" lastClr="000000"/>
                  </a:solidFill>
                  <a:effectLst/>
                  <a:latin typeface="Montserrat" panose="00000500000000000000" pitchFamily="2" charset="0"/>
                  <a:ea typeface="+mn-ea"/>
                  <a:cs typeface="+mn-cs"/>
                </a:rPr>
                <a:t>(Mandatory field, if ASC certified feed is</a:t>
              </a:r>
              <a:r>
                <a:rPr lang="en-US" sz="1100" baseline="0">
                  <a:solidFill>
                    <a:sysClr val="windowText" lastClr="000000"/>
                  </a:solidFill>
                  <a:effectLst/>
                  <a:latin typeface="Montserrat" panose="00000500000000000000" pitchFamily="2" charset="0"/>
                  <a:ea typeface="+mn-ea"/>
                  <a:cs typeface="+mn-cs"/>
                </a:rPr>
                <a:t> used)</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r>
                <a:rPr lang="en-US" sz="1100" b="0" i="0" u="none" strike="noStrike" baseline="0">
                  <a:solidFill>
                    <a:sysClr val="windowText" lastClr="000000"/>
                  </a:solidFill>
                  <a:latin typeface="Montserrat" panose="00000500000000000000" pitchFamily="2" charset="0"/>
                  <a:cs typeface="Calibri" panose="020F0502020204030204" pitchFamily="34" charset="0"/>
                </a:rPr>
                <a:t>Provide the ASC identification number of each feed type i</a:t>
              </a:r>
              <a:r>
                <a:rPr lang="en-US" sz="1100" b="0" i="0" baseline="0">
                  <a:solidFill>
                    <a:sysClr val="windowText" lastClr="000000"/>
                  </a:solidFill>
                  <a:effectLst/>
                  <a:latin typeface="Montserrat" panose="00000500000000000000" pitchFamily="2" charset="0"/>
                  <a:ea typeface="+mn-ea"/>
                  <a:cs typeface="+mn-cs"/>
                </a:rPr>
                <a:t>n case the feed is ASC certified.</a:t>
              </a:r>
              <a:endParaRPr lang="en-US" sz="1100" b="0" i="0" u="none" strike="noStrike" baseline="0">
                <a:solidFill>
                  <a:sysClr val="windowText" lastClr="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endParaRPr lang="en-US" sz="1100" b="0" i="0" u="none" strike="noStrike" baseline="0">
                <a:solidFill>
                  <a:sysClr val="windowText" lastClr="000000"/>
                </a:solidFill>
                <a:latin typeface="Montserrat" panose="00000500000000000000" pitchFamily="2" charset="0"/>
                <a:cs typeface="Calibri" panose="020F050202020403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i="0" u="none" strike="noStrike" baseline="0">
                  <a:solidFill>
                    <a:sysClr val="windowText" lastClr="000000"/>
                  </a:solidFill>
                  <a:latin typeface="Montserrat" panose="00000500000000000000" pitchFamily="2" charset="0"/>
                  <a:cs typeface="Calibri" panose="020F0502020204030204" pitchFamily="34" charset="0"/>
                </a:rPr>
                <a:t>Fish meal in feed derived from forage fisheries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r>
                <a:rPr lang="en-US" sz="1100" b="0" i="0" u="none" strike="noStrike" baseline="0">
                  <a:solidFill>
                    <a:sysClr val="windowText" lastClr="000000"/>
                  </a:solidFill>
                  <a:latin typeface="Montserrat" panose="00000500000000000000" pitchFamily="2" charset="0"/>
                  <a:cs typeface="Calibri" panose="020F0502020204030204" pitchFamily="34" charset="0"/>
                </a:rPr>
                <a:t>Provide the percentage of fish meal in the feed that is derived from forage fisheries. Only fishmeal derived directly from forage fisheries (e.g. anchoveta) is to be included in the FFDRm calculation. Fishmeal derived from fisheries’ by-products, such as trimmings and offal shall not be included in the FFDRm calculation. Trimmings are defined as by-products when fish are processed for human consumption or if whole fish is rejected for use in human consumption. The value should be between zero and a hundred (0-100). </a:t>
              </a:r>
            </a:p>
            <a:p>
              <a:pPr marL="0" marR="0" indent="0" algn="l">
                <a:lnSpc>
                  <a:spcPct val="100000"/>
                </a:lnSpc>
                <a:spcBef>
                  <a:spcPts val="0"/>
                </a:spcBef>
                <a:spcAft>
                  <a:spcPts val="0"/>
                </a:spcAft>
              </a:pPr>
              <a:endParaRPr lang="en-US" sz="1100" b="0" i="0" u="none" strike="noStrike" baseline="0">
                <a:solidFill>
                  <a:sysClr val="windowText" lastClr="000000"/>
                </a:solidFill>
                <a:latin typeface="Montserrat" panose="00000500000000000000" pitchFamily="2" charset="0"/>
                <a:cs typeface="Calibri" panose="020F050202020403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Fish oil in feed derived from forage fisheries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Provide the percentage of fish oil in the feed that is derived from forage fisheries. Only fish oil derived directly from forage fisheries (e.g. anchoveta) is to be included in the FFDRo calculation. Fish oil derived from fisheries’ by-products, such as trimmings and offal shall not be included in the FFDRo calculation. Trimmings are defined as by-products when fish are processed for human consumption or if whole fish is rejected for use in human consumption. The value should be between zero and a hundred (0-100). </a:t>
              </a:r>
            </a:p>
            <a:p>
              <a:endParaRPr lang="en-US" sz="1100" b="0" i="0"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EPA and DHA content of fish oil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r>
                <a:rPr lang="en-US" sz="1100" b="0" i="0" baseline="0">
                  <a:solidFill>
                    <a:sysClr val="windowText" lastClr="000000"/>
                  </a:solidFill>
                  <a:effectLst/>
                  <a:latin typeface="Montserrat" panose="00000500000000000000" pitchFamily="2" charset="0"/>
                  <a:ea typeface="+mn-ea"/>
                  <a:cs typeface="+mn-cs"/>
                </a:rPr>
                <a:t>Provide per feed type the amount of EPA + DHA in the fish oil from direct fisheries. This value should be disclosed by the feed supplier. The value should be between (0-100). </a:t>
              </a:r>
            </a:p>
            <a:p>
              <a:r>
                <a:rPr lang="en-US" sz="1100" b="0" i="0" baseline="0">
                  <a:solidFill>
                    <a:sysClr val="windowText" lastClr="000000"/>
                  </a:solidFill>
                  <a:effectLst/>
                  <a:latin typeface="Montserrat" panose="00000500000000000000" pitchFamily="2" charset="0"/>
                  <a:ea typeface="+mn-ea"/>
                  <a:cs typeface="+mn-cs"/>
                </a:rPr>
                <a:t>In case no value is provided by the the feed supplier, the below values can be used:</a:t>
              </a:r>
            </a:p>
            <a:p>
              <a:r>
                <a:rPr lang="en-US" sz="1100" b="0" i="0" baseline="0">
                  <a:solidFill>
                    <a:sysClr val="windowText" lastClr="000000"/>
                  </a:solidFill>
                  <a:effectLst/>
                  <a:latin typeface="Montserrat" panose="00000500000000000000" pitchFamily="2" charset="0"/>
                  <a:ea typeface="+mn-ea"/>
                  <a:cs typeface="+mn-cs"/>
                </a:rPr>
                <a:t>-  Fish oil originating from Peru and Chile and Gulf of Mexico: 30% EPA and DHA in fish oil;</a:t>
              </a:r>
            </a:p>
            <a:p>
              <a:r>
                <a:rPr lang="en-US" sz="1100" b="0" i="0" baseline="0">
                  <a:solidFill>
                    <a:sysClr val="windowText" lastClr="000000"/>
                  </a:solidFill>
                  <a:effectLst/>
                  <a:latin typeface="Montserrat" panose="00000500000000000000" pitchFamily="2" charset="0"/>
                  <a:ea typeface="+mn-ea"/>
                  <a:cs typeface="+mn-cs"/>
                </a:rPr>
                <a:t>-  Fish oil originating from the North Atlantic (Denmark, Norway, Iceland and the UK): 20% EPA and DHA in fish oil.</a:t>
              </a:r>
            </a:p>
            <a:p>
              <a:endParaRPr lang="en-US" sz="1100" b="0" i="0"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Fish oil yield per kg fish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Provide the fish oil yield of the fish oil in the feed. This value should be disclosed by the feed supplier. The value should be between zero and a hundred (0-100). </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In case no value is provided by the the feed supplier, the below values can be used:</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  Fish oil originating from Peru and Chile and Gulf of Mexico: 5% fish oil yield;</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  Fish oil originating from the North Atlantic (Denmark, Norway, Iceland and the UK): 7% fish oil yield.</a:t>
              </a:r>
            </a:p>
            <a:p>
              <a:r>
                <a:rPr lang="en-US" sz="1100" b="0" i="0" baseline="0">
                  <a:solidFill>
                    <a:sysClr val="windowText" lastClr="000000"/>
                  </a:solidFill>
                  <a:effectLst/>
                  <a:latin typeface="Montserrat" panose="00000500000000000000" pitchFamily="2" charset="0"/>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Fish meal yield per kg fish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r>
                <a:rPr lang="en-US" sz="1100" b="0" i="0" baseline="0">
                  <a:solidFill>
                    <a:sysClr val="windowText" lastClr="000000"/>
                  </a:solidFill>
                  <a:effectLst/>
                  <a:latin typeface="Montserrat" panose="00000500000000000000" pitchFamily="2" charset="0"/>
                  <a:ea typeface="+mn-ea"/>
                  <a:cs typeface="+mn-cs"/>
                </a:rPr>
                <a:t>Provide the fish meal yield of the fish meal in the feed. This value should be disclosed by the feed supplier. The value should be between zero and a hundred (0-100). </a:t>
              </a:r>
            </a:p>
            <a:p>
              <a:r>
                <a:rPr lang="en-US" sz="1100" b="0" i="0" baseline="0">
                  <a:solidFill>
                    <a:sysClr val="windowText" lastClr="000000"/>
                  </a:solidFill>
                  <a:effectLst/>
                  <a:latin typeface="Montserrat" panose="00000500000000000000" pitchFamily="2" charset="0"/>
                  <a:ea typeface="+mn-ea"/>
                  <a:cs typeface="+mn-cs"/>
                </a:rPr>
                <a:t>In case no value was provided by the feed supplier a value of 24% can be used. </a:t>
              </a:r>
            </a:p>
            <a:p>
              <a:endParaRPr lang="en-US" sz="1100" b="1" i="0"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Protein content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r>
                <a:rPr lang="en-US" sz="1100" b="0" i="0" baseline="0">
                  <a:solidFill>
                    <a:sysClr val="windowText" lastClr="000000"/>
                  </a:solidFill>
                  <a:effectLst/>
                  <a:latin typeface="Montserrat" panose="00000500000000000000" pitchFamily="2" charset="0"/>
                  <a:ea typeface="+mn-ea"/>
                  <a:cs typeface="+mn-cs"/>
                </a:rPr>
                <a:t>Provide for each feed type the protein content. Only in case where the protein content of the feed is not known, the total nitrogen content of the feed can be used to estimate the protein content.  A conversion to protein content can be made by multiplying the nitrogen (%) by 6.25. The value should be between zero and a hundred (0-100).</a:t>
              </a:r>
            </a:p>
            <a:p>
              <a:endParaRPr lang="en-US" sz="1100" b="0" i="0" baseline="0">
                <a:solidFill>
                  <a:sysClr val="windowText" lastClr="000000"/>
                </a:solidFill>
                <a:effectLst/>
                <a:latin typeface="Montserrat" panose="00000500000000000000" pitchFamily="2" charset="0"/>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i="0" u="none" strike="noStrike" baseline="0">
                  <a:solidFill>
                    <a:sysClr val="windowText" lastClr="000000"/>
                  </a:solidFill>
                  <a:effectLst/>
                  <a:latin typeface="Montserrat" panose="00000500000000000000" pitchFamily="2" charset="0"/>
                  <a:ea typeface="+mn-ea"/>
                  <a:cs typeface="+mn-cs"/>
                </a:rPr>
                <a:t>GMO ingredients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r>
                <a:rPr lang="en-US" sz="1100" b="0" i="0" u="none" strike="noStrike" baseline="0">
                  <a:solidFill>
                    <a:sysClr val="windowText" lastClr="000000"/>
                  </a:solidFill>
                  <a:effectLst/>
                  <a:latin typeface="Montserrat" panose="00000500000000000000" pitchFamily="2" charset="0"/>
                  <a:ea typeface="+mn-ea"/>
                  <a:cs typeface="+mn-cs"/>
                </a:rPr>
                <a:t>Provide for each feed type the percentage of ingredients from Genetically Modified Organisms (GMO) or macro ingredients produced from GMO. The value should be between zero and a hundred (0-100). </a:t>
              </a:r>
            </a:p>
            <a:p>
              <a:pPr marL="0" marR="0" indent="0" algn="l">
                <a:lnSpc>
                  <a:spcPct val="100000"/>
                </a:lnSpc>
                <a:spcBef>
                  <a:spcPts val="0"/>
                </a:spcBef>
                <a:spcAft>
                  <a:spcPts val="0"/>
                </a:spcAft>
              </a:pPr>
              <a:endParaRPr lang="en-US" sz="1100" b="0" i="0" baseline="0">
                <a:solidFill>
                  <a:sysClr val="windowText" lastClr="000000"/>
                </a:solidFill>
                <a:effectLst/>
                <a:latin typeface="Montserrat" panose="00000500000000000000" pitchFamily="2" charset="0"/>
                <a:ea typeface="+mn-ea"/>
                <a:cs typeface="+mn-cs"/>
              </a:endParaRPr>
            </a:p>
            <a:p>
              <a:pPr marL="0" marR="0" indent="0" algn="l">
                <a:lnSpc>
                  <a:spcPct val="100000"/>
                </a:lnSpc>
                <a:spcBef>
                  <a:spcPts val="0"/>
                </a:spcBef>
                <a:spcAft>
                  <a:spcPts val="0"/>
                </a:spcAft>
              </a:pPr>
              <a:r>
                <a:rPr lang="en-US" sz="1100" b="1" i="0" baseline="0">
                  <a:solidFill>
                    <a:sysClr val="windowText" lastClr="000000"/>
                  </a:solidFill>
                  <a:effectLst/>
                  <a:latin typeface="Montserrat" panose="00000500000000000000" pitchFamily="2" charset="0"/>
                  <a:ea typeface="+mn-ea"/>
                  <a:cs typeface="+mn-cs"/>
                </a:rPr>
                <a:t>Notes </a:t>
              </a:r>
              <a:r>
                <a:rPr lang="en-US" sz="1100" b="0" i="0" baseline="0">
                  <a:solidFill>
                    <a:sysClr val="windowText" lastClr="000000"/>
                  </a:solidFill>
                  <a:effectLst/>
                  <a:latin typeface="Montserrat" panose="00000500000000000000" pitchFamily="2" charset="0"/>
                  <a:ea typeface="+mn-ea"/>
                  <a:cs typeface="+mn-cs"/>
                </a:rPr>
                <a:t>(Voluntary field)</a:t>
              </a:r>
            </a:p>
            <a:p>
              <a:pPr marL="0" marR="0" indent="0" algn="l">
                <a:lnSpc>
                  <a:spcPct val="100000"/>
                </a:lnSpc>
                <a:spcBef>
                  <a:spcPts val="0"/>
                </a:spcBef>
                <a:spcAft>
                  <a:spcPts val="0"/>
                </a:spcAft>
              </a:pPr>
              <a:r>
                <a:rPr lang="en-US" sz="1100" b="0" i="0" baseline="0">
                  <a:solidFill>
                    <a:sysClr val="windowText" lastClr="000000"/>
                  </a:solidFill>
                  <a:effectLst/>
                  <a:latin typeface="Montserrat" panose="00000500000000000000" pitchFamily="2" charset="0"/>
                  <a:ea typeface="+mn-ea"/>
                  <a:cs typeface="+mn-cs"/>
                </a:rPr>
                <a:t>This field may be used to provide any other relevant information or clarifications.</a:t>
              </a:r>
            </a:p>
            <a:p>
              <a:pPr marL="0" marR="0" indent="0" algn="l">
                <a:lnSpc>
                  <a:spcPct val="100000"/>
                </a:lnSpc>
                <a:spcBef>
                  <a:spcPts val="0"/>
                </a:spcBef>
                <a:spcAft>
                  <a:spcPts val="0"/>
                </a:spcAft>
              </a:pPr>
              <a:endParaRPr lang="en-US" sz="1100" b="0" i="0" u="none" strike="noStrike" baseline="0">
                <a:solidFill>
                  <a:srgbClr val="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sng" strike="noStrike" baseline="0">
                  <a:solidFill>
                    <a:srgbClr val="000000"/>
                  </a:solidFill>
                  <a:latin typeface="Montserrat" panose="00000500000000000000" pitchFamily="2" charset="0"/>
                  <a:cs typeface="Calibri" panose="020F0502020204030204" pitchFamily="34" charset="0"/>
                </a:rPr>
                <a:t>TABLE 2. Feed use reporting per species</a:t>
              </a:r>
              <a:endParaRPr lang="en-NL" sz="1100">
                <a:solidFill>
                  <a:schemeClr val="tx1"/>
                </a:solidFill>
                <a:effectLst/>
                <a:latin typeface="Montserrat" panose="00000500000000000000" pitchFamily="2" charset="0"/>
              </a:endParaRPr>
            </a:p>
            <a:p>
              <a:pPr eaLnBrk="1" fontAlgn="auto" latinLnBrk="0" hangingPunct="1"/>
              <a:r>
                <a:rPr lang="en-US" sz="1100" b="1" i="0">
                  <a:solidFill>
                    <a:schemeClr val="tx1"/>
                  </a:solidFill>
                  <a:effectLst/>
                  <a:latin typeface="Montserrat" panose="00000500000000000000" pitchFamily="2" charset="0"/>
                  <a:ea typeface="+mn-ea"/>
                  <a:cs typeface="+mn-cs"/>
                </a:rPr>
                <a:t>Species in production (select) </a:t>
              </a:r>
              <a:r>
                <a:rPr lang="en-US" sz="1100" b="0" i="0">
                  <a:solidFill>
                    <a:schemeClr val="tx1"/>
                  </a:solidFill>
                  <a:effectLst/>
                  <a:latin typeface="Montserrat" panose="00000500000000000000" pitchFamily="2" charset="0"/>
                  <a:ea typeface="+mn-ea"/>
                  <a:cs typeface="+mn-cs"/>
                </a:rPr>
                <a:t>(Mandatory field)</a:t>
              </a:r>
              <a:endParaRPr lang="en-NL" sz="1100">
                <a:solidFill>
                  <a:schemeClr val="tx1"/>
                </a:solidFill>
                <a:effectLst/>
                <a:latin typeface="Montserrat" panose="00000500000000000000" pitchFamily="2" charset="0"/>
              </a:endParaRPr>
            </a:p>
            <a:p>
              <a:r>
                <a:rPr lang="en-GB" sz="1100" b="0" baseline="0">
                  <a:solidFill>
                    <a:schemeClr val="tx1"/>
                  </a:solidFill>
                  <a:effectLst/>
                  <a:latin typeface="Montserrat" panose="00000500000000000000" pitchFamily="2" charset="0"/>
                  <a:ea typeface="+mn-ea"/>
                  <a:cs typeface="+mn-cs"/>
                </a:rPr>
                <a:t>Select the species in production feed use is reported for. The selection option is based on the species provided in the 'Site and production details' tab.</a:t>
              </a:r>
              <a:endParaRPr lang="en-NL" sz="1100">
                <a:solidFill>
                  <a:schemeClr val="tx1"/>
                </a:solidFill>
                <a:effectLst/>
                <a:latin typeface="Montserrat" panose="00000500000000000000" pitchFamily="2" charset="0"/>
              </a:endParaRPr>
            </a:p>
            <a:p>
              <a:endParaRPr lang="en-US" sz="1100" b="0" i="0" u="none" strike="noStrike" baseline="0">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chemeClr val="tx1"/>
                  </a:solidFill>
                  <a:latin typeface="Montserrat" panose="00000500000000000000" pitchFamily="2" charset="0"/>
                  <a:cs typeface="Calibri" panose="020F0502020204030204" pitchFamily="34" charset="0"/>
                </a:rPr>
                <a:t>Cycle ID (select) </a:t>
              </a:r>
              <a:r>
                <a:rPr lang="en-US" sz="1100" b="0" i="0" u="none" strike="noStrike" baseline="0">
                  <a:solidFill>
                    <a:schemeClr val="tx1"/>
                  </a:solidFill>
                  <a:latin typeface="Montserrat" panose="00000500000000000000" pitchFamily="2" charset="0"/>
                  <a:cs typeface="Calibri" panose="020F0502020204030204" pitchFamily="34" charset="0"/>
                </a:rPr>
                <a:t>(Voluntary field)</a:t>
              </a:r>
            </a:p>
            <a:p>
              <a:pPr marL="0" marR="0" indent="0" algn="l">
                <a:lnSpc>
                  <a:spcPct val="100000"/>
                </a:lnSpc>
                <a:spcBef>
                  <a:spcPts val="0"/>
                </a:spcBef>
                <a:spcAft>
                  <a:spcPts val="0"/>
                </a:spcAft>
              </a:pPr>
              <a:r>
                <a:rPr lang="en-US" sz="1100" b="0" i="0" u="none" strike="noStrike" baseline="0">
                  <a:solidFill>
                    <a:schemeClr val="tx1"/>
                  </a:solidFill>
                  <a:latin typeface="Montserrat" panose="00000500000000000000" pitchFamily="2" charset="0"/>
                  <a:cs typeface="Calibri" panose="020F0502020204030204" pitchFamily="34" charset="0"/>
                </a:rPr>
                <a:t>Select the cycle ID feed use is reported for. The selection option is based on the cycle IDs provided in the 'Site and production details' tab.</a:t>
              </a:r>
            </a:p>
            <a:p>
              <a:pPr marL="0" marR="0" indent="0" algn="l">
                <a:lnSpc>
                  <a:spcPct val="100000"/>
                </a:lnSpc>
                <a:spcBef>
                  <a:spcPts val="0"/>
                </a:spcBef>
                <a:spcAft>
                  <a:spcPts val="0"/>
                </a:spcAft>
              </a:pPr>
              <a:endParaRPr lang="en-US" sz="1100" b="1" i="0" u="none" strike="noStrike" baseline="0">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chemeClr val="tx1"/>
                  </a:solidFill>
                  <a:latin typeface="Montserrat" panose="00000500000000000000" pitchFamily="2" charset="0"/>
                  <a:cs typeface="Calibri" panose="020F0502020204030204" pitchFamily="34" charset="0"/>
                </a:rPr>
                <a:t>Feed type (select) </a:t>
              </a:r>
              <a:r>
                <a:rPr lang="en-US" sz="1100" b="0" i="0" u="none" strike="noStrike" baseline="0">
                  <a:solidFill>
                    <a:schemeClr val="tx1"/>
                  </a:solidFill>
                  <a:latin typeface="Montserrat" panose="00000500000000000000" pitchFamily="2" charset="0"/>
                  <a:cs typeface="Calibri" panose="020F0502020204030204" pitchFamily="34" charset="0"/>
                </a:rPr>
                <a:t>(Mandatory field)</a:t>
              </a:r>
            </a:p>
            <a:p>
              <a:pPr marL="0" marR="0" lvl="0" indent="0" algn="l" defTabSz="914400" eaLnBrk="1" fontAlgn="auto" latinLnBrk="0" hangingPunct="1">
                <a:lnSpc>
                  <a:spcPct val="100000"/>
                </a:lnSpc>
                <a:spcBef>
                  <a:spcPts val="0"/>
                </a:spcBef>
                <a:spcAft>
                  <a:spcPts val="0"/>
                </a:spcAft>
                <a:buClrTx/>
                <a:buSzTx/>
                <a:buFontTx/>
                <a:buNone/>
                <a:tabLst/>
                <a:defRPr/>
              </a:pPr>
              <a:r>
                <a:rPr lang="en-GB" sz="1100" b="0" baseline="0">
                  <a:solidFill>
                    <a:schemeClr val="tx1"/>
                  </a:solidFill>
                  <a:effectLst/>
                  <a:latin typeface="Montserrat" panose="00000500000000000000" pitchFamily="2" charset="0"/>
                  <a:ea typeface="+mn-ea"/>
                  <a:cs typeface="+mn-cs"/>
                </a:rPr>
                <a:t>Select the feed name the feed use is reported for. The selection option is based on </a:t>
              </a:r>
              <a:r>
                <a:rPr lang="en-US" sz="1100" b="0" baseline="0">
                  <a:solidFill>
                    <a:schemeClr val="tx1"/>
                  </a:solidFill>
                  <a:effectLst/>
                  <a:latin typeface="Montserrat" panose="00000500000000000000" pitchFamily="2" charset="0"/>
                  <a:ea typeface="+mn-ea"/>
                  <a:cs typeface="+mn-cs"/>
                </a:rPr>
                <a:t>feed types provided in table 1.</a:t>
              </a:r>
              <a:endParaRPr lang="en-NL" sz="1100">
                <a:solidFill>
                  <a:schemeClr val="tx1"/>
                </a:solidFill>
                <a:effectLst/>
                <a:latin typeface="Montserrat" panose="00000500000000000000" pitchFamily="2" charset="0"/>
              </a:endParaRPr>
            </a:p>
            <a:p>
              <a:pPr marL="0" marR="0" indent="0" algn="l">
                <a:lnSpc>
                  <a:spcPct val="100000"/>
                </a:lnSpc>
                <a:spcBef>
                  <a:spcPts val="0"/>
                </a:spcBef>
                <a:spcAft>
                  <a:spcPts val="0"/>
                </a:spcAft>
              </a:pPr>
              <a:endParaRPr lang="en-US" sz="1100" b="1" i="0" u="none" strike="noStrike" baseline="0">
                <a:solidFill>
                  <a:srgbClr val="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rgbClr val="000000"/>
                  </a:solidFill>
                  <a:latin typeface="Montserrat" panose="00000500000000000000" pitchFamily="2" charset="0"/>
                  <a:cs typeface="Calibri" panose="020F0502020204030204" pitchFamily="34" charset="0"/>
                </a:rPr>
                <a:t>Feed use (tonnes)</a:t>
              </a:r>
              <a:r>
                <a:rPr lang="en-US" sz="1100" b="0" i="0" u="none" strike="noStrike" baseline="0">
                  <a:solidFill>
                    <a:srgbClr val="000000"/>
                  </a:solidFill>
                  <a:latin typeface="Montserrat" panose="00000500000000000000" pitchFamily="2" charset="0"/>
                  <a:cs typeface="Calibri" panose="020F0502020204030204" pitchFamily="34" charset="0"/>
                </a:rPr>
                <a:t> (Mandatory field)</a:t>
              </a:r>
            </a:p>
            <a:p>
              <a:pPr marL="0" marR="0" lvl="0" indent="0" algn="l" defTabSz="914400" eaLnBrk="1" fontAlgn="auto" latinLnBrk="0" hangingPunct="1">
                <a:lnSpc>
                  <a:spcPct val="100000"/>
                </a:lnSpc>
                <a:spcBef>
                  <a:spcPts val="0"/>
                </a:spcBef>
                <a:spcAft>
                  <a:spcPts val="0"/>
                </a:spcAft>
                <a:buClrTx/>
                <a:buSzTx/>
                <a:buFontTx/>
                <a:buNone/>
                <a:tabLst/>
                <a:defRPr/>
              </a:pPr>
              <a:r>
                <a:rPr lang="en-GB" sz="1100" b="0" i="0" baseline="0">
                  <a:solidFill>
                    <a:schemeClr val="tx1"/>
                  </a:solidFill>
                  <a:effectLst/>
                  <a:latin typeface="Montserrat" panose="00000500000000000000" pitchFamily="2" charset="0"/>
                  <a:ea typeface="+mn-ea"/>
                  <a:cs typeface="+mn-cs"/>
                </a:rPr>
                <a:t>Indicate for each feed type the amount of feed used during the production period. Feed use </a:t>
              </a:r>
              <a:r>
                <a:rPr lang="en-GB" sz="1100" b="0" baseline="0">
                  <a:solidFill>
                    <a:schemeClr val="tx1"/>
                  </a:solidFill>
                  <a:effectLst/>
                  <a:latin typeface="Montserrat" panose="00000500000000000000" pitchFamily="2" charset="0"/>
                  <a:ea typeface="+mn-ea"/>
                  <a:cs typeface="+mn-cs"/>
                </a:rPr>
                <a:t>is given in metric tonnes (1 tonne = 1000kg).</a:t>
              </a:r>
            </a:p>
            <a:p>
              <a:pPr marL="0" marR="0" lvl="0" indent="0" algn="l" defTabSz="914400" eaLnBrk="1" fontAlgn="auto" latinLnBrk="0" hangingPunct="1">
                <a:lnSpc>
                  <a:spcPct val="100000"/>
                </a:lnSpc>
                <a:spcBef>
                  <a:spcPts val="0"/>
                </a:spcBef>
                <a:spcAft>
                  <a:spcPts val="0"/>
                </a:spcAft>
                <a:buClrTx/>
                <a:buSzTx/>
                <a:buFontTx/>
                <a:buNone/>
                <a:tabLst/>
                <a:defRPr/>
              </a:pPr>
              <a:endParaRPr lang="en-GB" sz="1100" b="1" baseline="0">
                <a:solidFill>
                  <a:schemeClr val="tx1"/>
                </a:solidFill>
                <a:effectLst/>
                <a:latin typeface="Montserrat" panose="00000500000000000000" pitchFamily="2" charset="0"/>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a:solidFill>
                    <a:schemeClr val="tx1"/>
                  </a:solidFill>
                  <a:effectLst/>
                  <a:latin typeface="Montserrat" panose="00000500000000000000" pitchFamily="2" charset="0"/>
                </a:rPr>
                <a:t>Notes </a:t>
              </a:r>
              <a:r>
                <a:rPr lang="en-US" sz="1100">
                  <a:solidFill>
                    <a:schemeClr val="tx1"/>
                  </a:solidFill>
                  <a:effectLst/>
                  <a:latin typeface="Montserrat" panose="00000500000000000000" pitchFamily="2" charset="0"/>
                </a:rPr>
                <a:t>(Voluntary field)</a:t>
              </a:r>
            </a:p>
            <a:p>
              <a:pPr marL="0" marR="0" lvl="0" indent="0" algn="l" defTabSz="914400" eaLnBrk="1" fontAlgn="auto" latinLnBrk="0" hangingPunct="1">
                <a:lnSpc>
                  <a:spcPct val="100000"/>
                </a:lnSpc>
                <a:spcBef>
                  <a:spcPts val="0"/>
                </a:spcBef>
                <a:spcAft>
                  <a:spcPts val="0"/>
                </a:spcAft>
                <a:buClrTx/>
                <a:buSzTx/>
                <a:buFontTx/>
                <a:buNone/>
                <a:tabLst/>
                <a:defRPr/>
              </a:pPr>
              <a:r>
                <a:rPr lang="en-US" sz="1100">
                  <a:solidFill>
                    <a:schemeClr val="tx1"/>
                  </a:solidFill>
                  <a:effectLst/>
                  <a:latin typeface="Montserrat" panose="00000500000000000000" pitchFamily="2" charset="0"/>
                </a:rPr>
                <a:t>This field may be used to provide any other relevant information or clarifications.</a:t>
              </a:r>
              <a:endParaRPr lang="en-NL" sz="1100">
                <a:solidFill>
                  <a:schemeClr val="tx1"/>
                </a:solidFill>
                <a:effectLst/>
                <a:latin typeface="Montserrat" panose="00000500000000000000" pitchFamily="2" charset="0"/>
              </a:endParaRPr>
            </a:p>
            <a:p>
              <a:pPr marL="0" marR="0" indent="0" algn="l">
                <a:lnSpc>
                  <a:spcPct val="100000"/>
                </a:lnSpc>
                <a:spcBef>
                  <a:spcPts val="0"/>
                </a:spcBef>
                <a:spcAft>
                  <a:spcPts val="0"/>
                </a:spcAft>
              </a:pPr>
              <a:endParaRPr lang="en-US" sz="1100" b="1" i="0" u="none" strike="noStrike" baseline="0">
                <a:solidFill>
                  <a:srgbClr val="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sng" strike="noStrike" baseline="0">
                  <a:solidFill>
                    <a:schemeClr val="tx1"/>
                  </a:solidFill>
                  <a:latin typeface="Montserrat" panose="00000500000000000000" pitchFamily="2" charset="0"/>
                  <a:cs typeface="Calibri" panose="020F0502020204030204" pitchFamily="34" charset="0"/>
                </a:rPr>
                <a:t>TABLE 3. Species protein content</a:t>
              </a:r>
            </a:p>
            <a:p>
              <a:r>
                <a:rPr lang="en-GB" sz="1100" b="1">
                  <a:solidFill>
                    <a:schemeClr val="tx1"/>
                  </a:solidFill>
                  <a:effectLst/>
                  <a:latin typeface="Montserrat" panose="00000500000000000000" pitchFamily="2" charset="0"/>
                  <a:ea typeface="+mn-ea"/>
                  <a:cs typeface="+mn-cs"/>
                </a:rPr>
                <a:t>Species in production </a:t>
              </a:r>
              <a:r>
                <a:rPr lang="en-GB" sz="1100" b="0">
                  <a:solidFill>
                    <a:schemeClr val="tx1"/>
                  </a:solidFill>
                  <a:effectLst/>
                  <a:latin typeface="Montserrat" panose="00000500000000000000" pitchFamily="2" charset="0"/>
                  <a:ea typeface="+mn-ea"/>
                  <a:cs typeface="+mn-cs"/>
                </a:rPr>
                <a:t>(Autopopulated field)</a:t>
              </a:r>
            </a:p>
            <a:p>
              <a:pPr eaLnBrk="1" fontAlgn="auto" latinLnBrk="0" hangingPunct="1"/>
              <a:r>
                <a:rPr lang="en-GB" sz="1100" b="0" baseline="0">
                  <a:solidFill>
                    <a:schemeClr val="tx1"/>
                  </a:solidFill>
                  <a:effectLst/>
                  <a:latin typeface="Montserrat" panose="00000500000000000000" pitchFamily="2" charset="0"/>
                  <a:ea typeface="+mn-ea"/>
                  <a:cs typeface="+mn-cs"/>
                </a:rPr>
                <a:t>The species in production</a:t>
              </a:r>
              <a:r>
                <a:rPr lang="en-US" sz="1100" b="0" i="0">
                  <a:solidFill>
                    <a:schemeClr val="tx1"/>
                  </a:solidFill>
                  <a:effectLst/>
                  <a:latin typeface="Montserrat" panose="00000500000000000000" pitchFamily="2" charset="0"/>
                  <a:ea typeface="+mn-ea"/>
                  <a:cs typeface="+mn-cs"/>
                </a:rPr>
                <a:t> </a:t>
              </a:r>
              <a:r>
                <a:rPr lang="en-GB" sz="1100" b="0" baseline="0">
                  <a:solidFill>
                    <a:schemeClr val="tx1"/>
                  </a:solidFill>
                  <a:effectLst/>
                  <a:latin typeface="Montserrat" panose="00000500000000000000" pitchFamily="2" charset="0"/>
                  <a:ea typeface="+mn-ea"/>
                  <a:cs typeface="+mn-cs"/>
                </a:rPr>
                <a:t>is autopopulated from the 'Site and production details' tab.</a:t>
              </a:r>
              <a:endParaRPr lang="en-NL" sz="1100">
                <a:solidFill>
                  <a:schemeClr val="tx1"/>
                </a:solidFill>
                <a:effectLst/>
                <a:latin typeface="Montserrat" panose="00000500000000000000" pitchFamily="2" charset="0"/>
              </a:endParaRPr>
            </a:p>
            <a:p>
              <a:pPr marL="0" marR="0" indent="0" algn="l">
                <a:lnSpc>
                  <a:spcPct val="100000"/>
                </a:lnSpc>
                <a:spcBef>
                  <a:spcPts val="0"/>
                </a:spcBef>
                <a:spcAft>
                  <a:spcPts val="0"/>
                </a:spcAft>
              </a:pPr>
              <a:endParaRPr lang="en-US" sz="1100" b="1" i="0" u="none" strike="noStrike" baseline="0">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chemeClr val="tx1"/>
                  </a:solidFill>
                  <a:latin typeface="Montserrat" panose="00000500000000000000" pitchFamily="2" charset="0"/>
                  <a:cs typeface="Calibri" panose="020F0502020204030204" pitchFamily="34" charset="0"/>
                </a:rPr>
                <a:t>Animal protein content (%) </a:t>
              </a:r>
              <a:r>
                <a:rPr lang="en-US" sz="1100" b="0" i="0" u="none" strike="noStrike" baseline="0">
                  <a:solidFill>
                    <a:schemeClr val="tx1"/>
                  </a:solidFill>
                  <a:latin typeface="Montserrat" panose="00000500000000000000" pitchFamily="2" charset="0"/>
                  <a:cs typeface="Calibri" panose="020F0502020204030204" pitchFamily="34" charset="0"/>
                </a:rPr>
                <a:t>(Mandatory)</a:t>
              </a:r>
            </a:p>
            <a:p>
              <a:pPr marL="0" marR="0" indent="0" algn="l">
                <a:lnSpc>
                  <a:spcPct val="100000"/>
                </a:lnSpc>
                <a:spcBef>
                  <a:spcPts val="0"/>
                </a:spcBef>
                <a:spcAft>
                  <a:spcPts val="0"/>
                </a:spcAft>
              </a:pPr>
              <a:r>
                <a:rPr lang="en-US" sz="1100" b="0" i="0" u="none" strike="noStrike">
                  <a:solidFill>
                    <a:sysClr val="windowText" lastClr="000000"/>
                  </a:solidFill>
                  <a:latin typeface="Montserrat" panose="00000500000000000000" pitchFamily="2" charset="0"/>
                  <a:cs typeface="Calibri" panose="020F0502020204030204" pitchFamily="34" charset="0"/>
                </a:rPr>
                <a:t>Provide for each species in production the crude protein content of the whole animal</a:t>
              </a:r>
              <a:r>
                <a:rPr lang="en-US" sz="1100" b="0" i="0" u="none" strike="noStrike" baseline="0">
                  <a:solidFill>
                    <a:sysClr val="windowText" lastClr="000000"/>
                  </a:solidFill>
                  <a:latin typeface="Montserrat" panose="00000500000000000000" pitchFamily="2" charset="0"/>
                  <a:cs typeface="Calibri" panose="020F0502020204030204" pitchFamily="34" charset="0"/>
                </a:rPr>
                <a:t> (not only edible part) as percentage of the wet weight. </a:t>
              </a:r>
              <a:r>
                <a:rPr lang="en-US" sz="1100" b="0" i="0" baseline="0">
                  <a:solidFill>
                    <a:schemeClr val="tx1"/>
                  </a:solidFill>
                  <a:effectLst/>
                  <a:latin typeface="Montserrat" panose="00000500000000000000" pitchFamily="2" charset="0"/>
                  <a:ea typeface="+mn-ea"/>
                  <a:cs typeface="+mn-cs"/>
                </a:rPr>
                <a:t>T</a:t>
              </a:r>
              <a:r>
                <a:rPr lang="en-US" sz="1100" b="0" i="0" baseline="0">
                  <a:solidFill>
                    <a:sysClr val="windowText" lastClr="000000"/>
                  </a:solidFill>
                  <a:effectLst/>
                  <a:latin typeface="Montserrat" panose="00000500000000000000" pitchFamily="2" charset="0"/>
                  <a:ea typeface="+mn-ea"/>
                  <a:cs typeface="+mn-cs"/>
                </a:rPr>
                <a:t>he value should be between zero and a hundred (0-100). </a:t>
              </a:r>
            </a:p>
            <a:p>
              <a:r>
                <a:rPr lang="en-US" sz="1100" b="0" i="0" baseline="0">
                  <a:solidFill>
                    <a:sysClr val="windowText" lastClr="000000"/>
                  </a:solidFill>
                  <a:effectLst/>
                  <a:latin typeface="Montserrat" panose="00000500000000000000" pitchFamily="2" charset="0"/>
                  <a:ea typeface="+mn-ea"/>
                  <a:cs typeface="+mn-cs"/>
                </a:rPr>
                <a:t>In case no specific value is available a value of 21.9% for fish species and 18.6% for crustaceans can be used.</a:t>
              </a:r>
            </a:p>
            <a:p>
              <a:endParaRPr lang="en-US" sz="1100" b="0" i="0" baseline="0">
                <a:solidFill>
                  <a:sysClr val="windowText" lastClr="000000"/>
                </a:solidFill>
                <a:effectLst/>
                <a:latin typeface="Montserrat" panose="00000500000000000000" pitchFamily="2" charset="0"/>
                <a:ea typeface="+mn-ea"/>
                <a:cs typeface="+mn-cs"/>
              </a:endParaRPr>
            </a:p>
            <a:p>
              <a:pPr marL="0" marR="0" indent="0" algn="l">
                <a:lnSpc>
                  <a:spcPct val="100000"/>
                </a:lnSpc>
                <a:spcBef>
                  <a:spcPts val="0"/>
                </a:spcBef>
                <a:spcAft>
                  <a:spcPts val="0"/>
                </a:spcAft>
              </a:pPr>
              <a:r>
                <a:rPr lang="en-US" sz="1100" b="1" i="0" u="sng" strike="noStrike" baseline="0">
                  <a:solidFill>
                    <a:schemeClr val="tx1"/>
                  </a:solidFill>
                  <a:latin typeface="Montserrat" panose="00000500000000000000" pitchFamily="2" charset="0"/>
                  <a:cs typeface="Calibri" panose="020F0502020204030204" pitchFamily="34" charset="0"/>
                </a:rPr>
                <a:t>TABLE 4. Feed efficiencies per species</a:t>
              </a:r>
              <a:endParaRPr lang="en-GB" sz="1100" b="1">
                <a:solidFill>
                  <a:schemeClr val="tx1"/>
                </a:solidFill>
                <a:effectLst/>
                <a:latin typeface="Montserrat" panose="00000500000000000000" pitchFamily="2" charset="0"/>
                <a:ea typeface="+mn-ea"/>
                <a:cs typeface="+mn-cs"/>
              </a:endParaRPr>
            </a:p>
            <a:p>
              <a:r>
                <a:rPr lang="en-GB" sz="1100" b="1">
                  <a:solidFill>
                    <a:schemeClr val="tx1"/>
                  </a:solidFill>
                  <a:effectLst/>
                  <a:latin typeface="Montserrat" panose="00000500000000000000" pitchFamily="2" charset="0"/>
                  <a:ea typeface="+mn-ea"/>
                  <a:cs typeface="+mn-cs"/>
                </a:rPr>
                <a:t>Species in production </a:t>
              </a:r>
              <a:r>
                <a:rPr lang="en-GB" sz="1100" b="0">
                  <a:solidFill>
                    <a:schemeClr val="tx1"/>
                  </a:solidFill>
                  <a:effectLst/>
                  <a:latin typeface="Montserrat" panose="00000500000000000000" pitchFamily="2" charset="0"/>
                  <a:ea typeface="+mn-ea"/>
                  <a:cs typeface="+mn-cs"/>
                </a:rPr>
                <a:t>(Autopopulated field)</a:t>
              </a:r>
            </a:p>
            <a:p>
              <a:pPr eaLnBrk="1" fontAlgn="auto" latinLnBrk="0" hangingPunct="1"/>
              <a:r>
                <a:rPr lang="en-GB" sz="1100" b="0" baseline="0">
                  <a:solidFill>
                    <a:schemeClr val="tx1"/>
                  </a:solidFill>
                  <a:effectLst/>
                  <a:latin typeface="Montserrat" panose="00000500000000000000" pitchFamily="2" charset="0"/>
                  <a:ea typeface="+mn-ea"/>
                  <a:cs typeface="+mn-cs"/>
                </a:rPr>
                <a:t>The species in production</a:t>
              </a:r>
              <a:r>
                <a:rPr lang="en-US" sz="1100" b="0" i="0">
                  <a:solidFill>
                    <a:schemeClr val="tx1"/>
                  </a:solidFill>
                  <a:effectLst/>
                  <a:latin typeface="Montserrat" panose="00000500000000000000" pitchFamily="2" charset="0"/>
                  <a:ea typeface="+mn-ea"/>
                  <a:cs typeface="+mn-cs"/>
                </a:rPr>
                <a:t> </a:t>
              </a:r>
              <a:r>
                <a:rPr lang="en-GB" sz="1100" b="0" baseline="0">
                  <a:solidFill>
                    <a:schemeClr val="tx1"/>
                  </a:solidFill>
                  <a:effectLst/>
                  <a:latin typeface="Montserrat" panose="00000500000000000000" pitchFamily="2" charset="0"/>
                  <a:ea typeface="+mn-ea"/>
                  <a:cs typeface="+mn-cs"/>
                </a:rPr>
                <a:t>is autopopulated from the 'Site and production details' tab.</a:t>
              </a:r>
              <a:endParaRPr lang="en-NL" sz="1100">
                <a:solidFill>
                  <a:schemeClr val="tx1"/>
                </a:solidFill>
                <a:effectLst/>
                <a:latin typeface="Montserrat" panose="00000500000000000000" pitchFamily="2" charset="0"/>
              </a:endParaRPr>
            </a:p>
            <a:p>
              <a:pPr marL="0" marR="0" indent="0" algn="l">
                <a:lnSpc>
                  <a:spcPct val="100000"/>
                </a:lnSpc>
                <a:spcBef>
                  <a:spcPts val="0"/>
                </a:spcBef>
                <a:spcAft>
                  <a:spcPts val="0"/>
                </a:spcAft>
              </a:pPr>
              <a:endParaRPr lang="en-US" sz="1100" b="1" i="0" u="none" strike="noStrike" baseline="0">
                <a:solidFill>
                  <a:srgbClr val="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rgbClr val="000000"/>
                  </a:solidFill>
                  <a:latin typeface="Montserrat" panose="00000500000000000000" pitchFamily="2" charset="0"/>
                  <a:cs typeface="Calibri" panose="020F0502020204030204" pitchFamily="34" charset="0"/>
                </a:rPr>
                <a:t>ASC certified net production volume (tonnes) </a:t>
              </a:r>
              <a:r>
                <a:rPr lang="en-US" sz="1100" b="0" i="0" u="none" strike="noStrike" baseline="0">
                  <a:solidFill>
                    <a:srgbClr val="000000"/>
                  </a:solidFill>
                  <a:latin typeface="Montserrat" panose="00000500000000000000" pitchFamily="2" charset="0"/>
                  <a:cs typeface="Calibri" panose="020F0502020204030204" pitchFamily="34" charset="0"/>
                </a:rPr>
                <a:t>(Autopopulated field)</a:t>
              </a:r>
            </a:p>
            <a:p>
              <a:pPr eaLnBrk="1" fontAlgn="auto" latinLnBrk="0" hangingPunct="1"/>
              <a:r>
                <a:rPr lang="en-GB" sz="1100" b="0" baseline="0">
                  <a:solidFill>
                    <a:sysClr val="windowText" lastClr="000000"/>
                  </a:solidFill>
                  <a:effectLst/>
                  <a:latin typeface="Montserrat" panose="00000500000000000000" pitchFamily="2" charset="0"/>
                  <a:ea typeface="+mn-ea"/>
                  <a:cs typeface="+mn-cs"/>
                </a:rPr>
                <a:t>The </a:t>
              </a:r>
              <a:r>
                <a:rPr lang="en-US" sz="1100" b="0" i="0" baseline="0">
                  <a:solidFill>
                    <a:sysClr val="windowText" lastClr="000000"/>
                  </a:solidFill>
                  <a:effectLst/>
                  <a:latin typeface="Montserrat" panose="00000500000000000000" pitchFamily="2" charset="0"/>
                  <a:ea typeface="+mn-ea"/>
                  <a:cs typeface="+mn-cs"/>
                </a:rPr>
                <a:t>ASC certified net production volume </a:t>
              </a:r>
              <a:r>
                <a:rPr lang="en-GB" sz="1100" b="0" baseline="0">
                  <a:solidFill>
                    <a:sysClr val="windowText" lastClr="000000"/>
                  </a:solidFill>
                  <a:effectLst/>
                  <a:latin typeface="Montserrat" panose="00000500000000000000" pitchFamily="2" charset="0"/>
                  <a:ea typeface="+mn-ea"/>
                  <a:cs typeface="+mn-cs"/>
                </a:rPr>
                <a:t>is autopopulated from 'Site and production details' tab and </a:t>
              </a:r>
              <a:r>
                <a:rPr lang="en-US" sz="1100" b="0" baseline="0">
                  <a:solidFill>
                    <a:sysClr val="windowText" lastClr="000000"/>
                  </a:solidFill>
                  <a:effectLst/>
                  <a:latin typeface="Montserrat" panose="00000500000000000000" pitchFamily="2" charset="0"/>
                  <a:ea typeface="+mn-ea"/>
                  <a:cs typeface="+mn-cs"/>
                </a:rPr>
                <a:t>calculated automatically, based on ASC certified harvested, stocked and standing stock.</a:t>
              </a:r>
            </a:p>
            <a:p>
              <a:pPr marL="0" marR="0" indent="0" algn="l">
                <a:lnSpc>
                  <a:spcPct val="100000"/>
                </a:lnSpc>
                <a:spcBef>
                  <a:spcPts val="0"/>
                </a:spcBef>
                <a:spcAft>
                  <a:spcPts val="0"/>
                </a:spcAft>
              </a:pPr>
              <a:endParaRPr lang="en-US" sz="1100" b="0" i="0" u="none" strike="noStrike">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a:solidFill>
                    <a:schemeClr val="tx1"/>
                  </a:solidFill>
                  <a:latin typeface="Montserrat" panose="00000500000000000000" pitchFamily="2" charset="0"/>
                  <a:cs typeface="Calibri" panose="020F0502020204030204" pitchFamily="34" charset="0"/>
                </a:rPr>
                <a:t>eFCR</a:t>
              </a:r>
              <a:r>
                <a:rPr lang="en-US" sz="1100" b="0" i="0" u="none" strike="noStrike">
                  <a:solidFill>
                    <a:schemeClr val="tx1"/>
                  </a:solidFill>
                  <a:latin typeface="Montserrat" panose="00000500000000000000" pitchFamily="2" charset="0"/>
                  <a:cs typeface="Calibri" panose="020F0502020204030204" pitchFamily="34" charset="0"/>
                </a:rPr>
                <a:t> (Calculated field)</a:t>
              </a:r>
            </a:p>
            <a:p>
              <a:pPr marL="0" marR="0" indent="0" algn="l">
                <a:lnSpc>
                  <a:spcPct val="100000"/>
                </a:lnSpc>
                <a:spcBef>
                  <a:spcPts val="0"/>
                </a:spcBef>
                <a:spcAft>
                  <a:spcPts val="0"/>
                </a:spcAft>
              </a:pPr>
              <a:r>
                <a:rPr lang="en-US" sz="1100" b="0" i="0" baseline="0">
                  <a:solidFill>
                    <a:schemeClr val="tx1"/>
                  </a:solidFill>
                  <a:effectLst/>
                  <a:latin typeface="Montserrat" panose="00000500000000000000" pitchFamily="2" charset="0"/>
                  <a:ea typeface="+mn-ea"/>
                  <a:cs typeface="+mn-cs"/>
                </a:rPr>
                <a:t>The eFCR here is automatically calculated for each species and site combination as the total volume of feed used per species from table 2, divided by the net production volume and is calculated as follows:</a:t>
              </a:r>
              <a:endParaRPr lang="en-US" sz="1100" b="0" i="0" u="none" strike="noStrike">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endParaRPr lang="en-US" sz="1100" b="0" i="0" u="none" strike="noStrike">
                <a:solidFill>
                  <a:schemeClr val="tx1"/>
                </a:solidFill>
                <a:latin typeface="Montserrat" panose="00000500000000000000" pitchFamily="2" charset="0"/>
                <a:cs typeface="Calibri" panose="020F0502020204030204" pitchFamily="34" charset="0"/>
              </a:endParaRPr>
            </a:p>
            <a:p>
              <a:r>
                <a:rPr lang="en-GB" sz="1100">
                  <a:solidFill>
                    <a:sysClr val="windowText" lastClr="000000"/>
                  </a:solidFill>
                  <a:effectLst/>
                  <a:latin typeface="Montserrat" pitchFamily="2" charset="0"/>
                  <a:ea typeface="+mn-ea"/>
                  <a:cs typeface="+mn-cs"/>
                </a:rPr>
                <a:t>	</a:t>
              </a:r>
              <a:r>
                <a:rPr lang="en-GB" sz="1100" i="0">
                  <a:solidFill>
                    <a:sysClr val="windowText" lastClr="000000"/>
                  </a:solidFill>
                  <a:effectLst/>
                  <a:latin typeface="Cambria Math" panose="02040503050406030204" pitchFamily="18" charset="0"/>
                  <a:ea typeface="+mn-ea"/>
                  <a:cs typeface="+mn-cs"/>
                </a:rPr>
                <a:t>𝑒𝐹𝐶𝑅=</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𝑡𝑜𝑡𝑎𝑙 𝑓𝑒𝑒𝑑 𝑢𝑠𝑒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𝑡𝑜𝑛𝑛𝑒𝑠)</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𝑛𝑒𝑡 𝑝𝑟𝑜𝑑𝑢𝑐𝑡𝑖𝑜𝑛 𝑣𝑜𝑙𝑢𝑚𝑒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𝑡𝑜𝑛𝑛𝑒𝑠) </a:t>
              </a:r>
              <a:r>
                <a:rPr lang="en-NL" sz="1100" i="0">
                  <a:solidFill>
                    <a:sysClr val="windowText" lastClr="000000"/>
                  </a:solidFill>
                  <a:effectLst/>
                  <a:latin typeface="Cambria Math" panose="02040503050406030204" pitchFamily="18" charset="0"/>
                  <a:ea typeface="+mn-ea"/>
                  <a:cs typeface="+mn-cs"/>
                </a:rPr>
                <a:t>)</a:t>
              </a:r>
              <a:endParaRPr lang="en-US" sz="1100" b="1" i="0">
                <a:solidFill>
                  <a:sysClr val="windowText" lastClr="000000"/>
                </a:solidFill>
                <a:effectLst/>
                <a:latin typeface="Montserrat" panose="00000500000000000000" pitchFamily="2" charset="0"/>
                <a:ea typeface="+mn-ea"/>
                <a:cs typeface="+mn-cs"/>
              </a:endParaRPr>
            </a:p>
            <a:p>
              <a:endParaRPr lang="en-US" sz="1100" b="1" i="0">
                <a:solidFill>
                  <a:schemeClr val="tx1"/>
                </a:solidFill>
                <a:effectLst/>
                <a:latin typeface="Montserrat" panose="00000500000000000000" pitchFamily="2" charset="0"/>
                <a:ea typeface="+mn-ea"/>
                <a:cs typeface="+mn-cs"/>
              </a:endParaRPr>
            </a:p>
            <a:p>
              <a:r>
                <a:rPr lang="en-US" sz="1100" b="1" i="0">
                  <a:solidFill>
                    <a:schemeClr val="tx1"/>
                  </a:solidFill>
                  <a:effectLst/>
                  <a:latin typeface="Montserrat" panose="00000500000000000000" pitchFamily="2" charset="0"/>
                  <a:ea typeface="+mn-ea"/>
                  <a:cs typeface="+mn-cs"/>
                </a:rPr>
                <a:t>PRE (%) </a:t>
              </a:r>
              <a:r>
                <a:rPr lang="en-US" sz="1100" b="0" i="0">
                  <a:solidFill>
                    <a:schemeClr val="tx1"/>
                  </a:solidFill>
                  <a:effectLst/>
                  <a:latin typeface="Montserrat" panose="00000500000000000000" pitchFamily="2" charset="0"/>
                  <a:ea typeface="+mn-ea"/>
                  <a:cs typeface="+mn-cs"/>
                </a:rPr>
                <a:t>(Calculated field)</a:t>
              </a:r>
            </a:p>
            <a:p>
              <a:r>
                <a:rPr lang="en-US" sz="1100" b="0" i="0">
                  <a:solidFill>
                    <a:schemeClr val="tx1"/>
                  </a:solidFill>
                  <a:effectLst/>
                  <a:latin typeface="Montserrat" panose="00000500000000000000" pitchFamily="2" charset="0"/>
                  <a:ea typeface="+mn-ea"/>
                  <a:cs typeface="+mn-cs"/>
                </a:rPr>
                <a:t>The protein retention efficiency (PRE) is automatically calculated for each species and site combination. The calculations of PRE is a weighted average and takes into account differences in protein content between the used feed types</a:t>
              </a:r>
              <a:r>
                <a:rPr lang="en-US" sz="1100" b="0" i="0" baseline="0">
                  <a:solidFill>
                    <a:schemeClr val="tx1"/>
                  </a:solidFill>
                  <a:effectLst/>
                  <a:latin typeface="Montserrat" panose="00000500000000000000" pitchFamily="2" charset="0"/>
                  <a:ea typeface="+mn-ea"/>
                  <a:cs typeface="+mn-cs"/>
                </a:rPr>
                <a:t> and is calculated as follows:</a:t>
              </a:r>
              <a:endParaRPr lang="en-US" sz="1100" b="0" i="0">
                <a:solidFill>
                  <a:schemeClr val="tx1"/>
                </a:solidFill>
                <a:effectLst/>
                <a:latin typeface="Montserrat" panose="00000500000000000000" pitchFamily="2" charset="0"/>
                <a:ea typeface="+mn-ea"/>
                <a:cs typeface="+mn-cs"/>
              </a:endParaRPr>
            </a:p>
            <a:p>
              <a:endParaRPr lang="en-US" sz="1100" b="1" i="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r>
                <a:rPr lang="en-GB" sz="1100" i="0">
                  <a:solidFill>
                    <a:sysClr val="windowText" lastClr="000000"/>
                  </a:solidFill>
                  <a:effectLst/>
                  <a:latin typeface="Cambria Math" panose="02040503050406030204" pitchFamily="18" charset="0"/>
                  <a:ea typeface="+mn-ea"/>
                  <a:cs typeface="+mn-cs"/>
                </a:rPr>
                <a:t>𝑃𝑅𝐸 %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𝑛𝑒𝑡 𝑎𝑛𝑖𝑚𝑎𝑙 𝑝𝑟𝑜𝑡𝑒𝑖𝑛 𝑐𝑜𝑛𝑡𝑒𝑛𝑡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𝑡𝑜𝑛𝑛𝑒𝑠)</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𝑝𝑟𝑜𝑡𝑒𝑖𝑛 𝑓𝑒𝑑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𝑡𝑜𝑛𝑛𝑒𝑠)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∗100</a:t>
              </a:r>
              <a:endParaRPr lang="en-US" sz="1100" b="1" i="0">
                <a:solidFill>
                  <a:sysClr val="windowText" lastClr="000000"/>
                </a:solidFill>
                <a:effectLst/>
                <a:latin typeface="Montserrat" panose="00000500000000000000" pitchFamily="2" charset="0"/>
                <a:ea typeface="+mn-ea"/>
                <a:cs typeface="+mn-cs"/>
              </a:endParaRPr>
            </a:p>
            <a:p>
              <a:endParaRPr lang="en-US" sz="1100" b="1" i="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anose="00000500000000000000" pitchFamily="2" charset="0"/>
                  <a:ea typeface="+mn-ea"/>
                  <a:cs typeface="+mn-cs"/>
                </a:rPr>
                <a:t>where the weighted protein fed is calculated taking into account the feed use and feed protein content of each feed type used and is calculated as follows:</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r>
                <a:rPr lang="en-GB" sz="1100" baseline="0">
                  <a:solidFill>
                    <a:sysClr val="windowText" lastClr="000000"/>
                  </a:solidFill>
                  <a:effectLst/>
                  <a:latin typeface="Montserrat" pitchFamily="2" charset="0"/>
                  <a:ea typeface="+mn-ea"/>
                  <a:cs typeface="+mn-cs"/>
                </a:rPr>
                <a:t>                     </a:t>
              </a:r>
              <a:r>
                <a:rPr lang="en-GB" sz="1100" i="0">
                  <a:solidFill>
                    <a:sysClr val="windowText" lastClr="000000"/>
                  </a:solidFill>
                  <a:effectLst/>
                  <a:latin typeface="Cambria Math" panose="02040503050406030204" pitchFamily="18" charset="0"/>
                  <a:ea typeface="+mn-ea"/>
                  <a:cs typeface="+mn-cs"/>
                </a:rPr>
                <a:t>𝑝𝑟𝑜𝑡𝑒𝑖𝑛 𝑓𝑒𝑑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𝑡𝑜𝑛𝑛𝑒𝑠)=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𝑓𝑒𝑒𝑑 𝑢𝑠𝑒</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1</a:t>
              </a:r>
              <a:r>
                <a:rPr lang="en-NL" sz="110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𝑡𝑜𝑛𝑛𝑒𝑠)</a:t>
              </a:r>
              <a:r>
                <a:rPr lang="de-DE" sz="1100" b="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a:t>
              </a:r>
              <a:r>
                <a:rPr lang="de-DE" sz="1100" b="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𝑝𝑟𝑜𝑡𝑒𝑖𝑛 𝑐𝑜𝑛𝑡𝑒𝑛𝑡</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1</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100</a:t>
              </a:r>
              <a:r>
                <a:rPr lang="nl-NL" sz="1100" b="0" i="0">
                  <a:solidFill>
                    <a:sysClr val="windowText" lastClr="000000"/>
                  </a:solidFill>
                  <a:effectLst/>
                  <a:latin typeface="Cambria Math" panose="02040503050406030204" pitchFamily="18" charset="0"/>
                  <a:ea typeface="+mn-ea"/>
                  <a:cs typeface="+mn-cs"/>
                </a:rPr>
                <a:t>  + </a:t>
              </a:r>
              <a:r>
                <a:rPr lang="en-GB" sz="1100" i="0">
                  <a:solidFill>
                    <a:sysClr val="windowText" lastClr="000000"/>
                  </a:solidFill>
                  <a:effectLst/>
                  <a:latin typeface="Cambria Math" panose="02040503050406030204" pitchFamily="18" charset="0"/>
                  <a:ea typeface="+mn-ea"/>
                  <a:cs typeface="+mn-cs"/>
                </a:rPr>
                <a:t>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𝑓𝑒𝑒𝑑 𝑢𝑠𝑒</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2</a:t>
              </a:r>
              <a:r>
                <a:rPr lang="en-NL" sz="110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𝑡𝑜𝑛𝑛𝑒𝑠)</a:t>
              </a:r>
              <a:r>
                <a:rPr lang="de-DE" sz="1100" b="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a:t>
              </a:r>
              <a:r>
                <a:rPr lang="de-DE" sz="1100" b="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𝑝𝑟𝑜𝑡𝑒𝑖𝑛 𝑐𝑜𝑛𝑡𝑒𝑛𝑡</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2</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100</a:t>
              </a:r>
              <a:r>
                <a:rPr lang="en-US" sz="1100">
                  <a:solidFill>
                    <a:sysClr val="windowText" lastClr="000000"/>
                  </a:solidFill>
                  <a:effectLst/>
                  <a:latin typeface="Montserrat" panose="00000500000000000000" pitchFamily="2" charset="0"/>
                  <a:ea typeface="+mn-ea"/>
                  <a:cs typeface="+mn-cs"/>
                </a:rPr>
                <a:t> + etc</a:t>
              </a:r>
            </a:p>
            <a:p>
              <a:endParaRPr lang="en-US" sz="1100" b="1" i="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anose="00000500000000000000" pitchFamily="2" charset="0"/>
                  <a:ea typeface="+mn-ea"/>
                  <a:cs typeface="+mn-cs"/>
                </a:rPr>
                <a:t>And</a:t>
              </a:r>
              <a:r>
                <a:rPr lang="en-GB" sz="1100" baseline="0">
                  <a:solidFill>
                    <a:sysClr val="windowText" lastClr="000000"/>
                  </a:solidFill>
                  <a:effectLst/>
                  <a:latin typeface="Montserrat" panose="00000500000000000000" pitchFamily="2" charset="0"/>
                  <a:ea typeface="+mn-ea"/>
                  <a:cs typeface="+mn-cs"/>
                </a:rPr>
                <a:t> n</a:t>
              </a:r>
              <a:r>
                <a:rPr lang="en-GB" sz="1100">
                  <a:solidFill>
                    <a:sysClr val="windowText" lastClr="000000"/>
                  </a:solidFill>
                  <a:effectLst/>
                  <a:latin typeface="Montserrat" panose="00000500000000000000" pitchFamily="2" charset="0"/>
                  <a:ea typeface="+mn-ea"/>
                  <a:cs typeface="+mn-cs"/>
                </a:rPr>
                <a:t>et animal protein content (tonnes) is calculated as follows:</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r>
                <a:rPr lang="en-GB" sz="1100">
                  <a:solidFill>
                    <a:sysClr val="windowText" lastClr="000000"/>
                  </a:solidFill>
                  <a:effectLst/>
                  <a:latin typeface="Montserrat" pitchFamily="2" charset="0"/>
                  <a:ea typeface="+mn-ea"/>
                  <a:cs typeface="+mn-cs"/>
                </a:rPr>
                <a:t>	</a:t>
              </a:r>
              <a:r>
                <a:rPr lang="en-GB" sz="1100" i="0">
                  <a:solidFill>
                    <a:sysClr val="windowText" lastClr="000000"/>
                  </a:solidFill>
                  <a:effectLst/>
                  <a:latin typeface="Cambria Math" panose="02040503050406030204" pitchFamily="18" charset="0"/>
                  <a:ea typeface="+mn-ea"/>
                  <a:cs typeface="+mn-cs"/>
                </a:rPr>
                <a:t>𝑛𝑒𝑡 𝑎𝑛𝑖𝑚𝑎𝑙 𝑝𝑟𝑜𝑡𝑒𝑖𝑛 𝑐𝑜𝑛𝑡𝑒𝑛𝑡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𝑡𝑜𝑛𝑛𝑒𝑠)=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𝑛𝑒𝑡 𝑝𝑟𝑜𝑑𝑢𝑐𝑡𝑖𝑜𝑛 𝑣𝑜𝑙𝑢𝑚𝑒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𝑡𝑜𝑛𝑛𝑒𝑠)</a:t>
              </a:r>
              <a:r>
                <a:rPr lang="de-DE" sz="1100" b="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a:t>
              </a:r>
              <a:r>
                <a:rPr lang="de-DE" sz="1100" b="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𝑎𝑛𝑖𝑚𝑎𝑙 𝑝𝑟𝑜𝑡𝑒𝑖𝑛 𝑐𝑜𝑛𝑡𝑒𝑛𝑡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100</a:t>
              </a:r>
              <a:endParaRPr lang="en-US" sz="1100" b="1" i="0">
                <a:solidFill>
                  <a:sysClr val="windowText" lastClr="000000"/>
                </a:solidFill>
                <a:effectLst/>
                <a:latin typeface="Montserrat" panose="00000500000000000000" pitchFamily="2" charset="0"/>
                <a:ea typeface="+mn-ea"/>
                <a:cs typeface="+mn-cs"/>
              </a:endParaRPr>
            </a:p>
            <a:p>
              <a:endParaRPr lang="en-US" sz="1100" b="1" i="0">
                <a:solidFill>
                  <a:sysClr val="windowText" lastClr="000000"/>
                </a:solidFill>
                <a:effectLst/>
                <a:latin typeface="Montserrat" panose="00000500000000000000" pitchFamily="2" charset="0"/>
                <a:ea typeface="+mn-ea"/>
                <a:cs typeface="+mn-cs"/>
              </a:endParaRPr>
            </a:p>
            <a:p>
              <a:r>
                <a:rPr lang="en-US" sz="1100" b="1" i="0">
                  <a:solidFill>
                    <a:schemeClr val="tx1"/>
                  </a:solidFill>
                  <a:effectLst/>
                  <a:latin typeface="Montserrat" panose="00000500000000000000" pitchFamily="2" charset="0"/>
                  <a:ea typeface="+mn-ea"/>
                  <a:cs typeface="+mn-cs"/>
                </a:rPr>
                <a:t>FFDRm</a:t>
              </a:r>
              <a:r>
                <a:rPr lang="en-US" sz="1100" b="0" i="0">
                  <a:solidFill>
                    <a:schemeClr val="tx1"/>
                  </a:solidFill>
                  <a:effectLst/>
                  <a:latin typeface="Montserrat" panose="00000500000000000000" pitchFamily="2" charset="0"/>
                  <a:ea typeface="+mn-ea"/>
                  <a:cs typeface="+mn-cs"/>
                </a:rPr>
                <a:t> (Calculated field)</a:t>
              </a:r>
              <a:endParaRPr lang="en-GB" sz="1100" b="0" i="0">
                <a:solidFill>
                  <a:schemeClr val="tx1"/>
                </a:solidFill>
                <a:effectLst/>
                <a:latin typeface="Montserrat" panose="00000500000000000000" pitchFamily="2" charset="0"/>
                <a:ea typeface="+mn-ea"/>
                <a:cs typeface="+mn-cs"/>
              </a:endParaRPr>
            </a:p>
            <a:p>
              <a:r>
                <a:rPr lang="en-US" sz="1100" b="0" i="0">
                  <a:solidFill>
                    <a:schemeClr val="tx1"/>
                  </a:solidFill>
                  <a:effectLst/>
                  <a:latin typeface="Montserrat" panose="00000500000000000000" pitchFamily="2" charset="0"/>
                  <a:ea typeface="+mn-ea"/>
                  <a:cs typeface="+mn-cs"/>
                </a:rPr>
                <a:t>The FFDRm is automatically calculated for each species. The FFDRm calculation is a weighted average and takes into account differences in content and yield between the used feed types and is calculated as follows:</a:t>
              </a:r>
            </a:p>
            <a:p>
              <a:endParaRPr lang="en-GB" sz="1100" b="0" i="0">
                <a:solidFill>
                  <a:schemeClr val="tx1"/>
                </a:solidFill>
                <a:effectLst/>
                <a:latin typeface="Montserrat" panose="00000500000000000000" pitchFamily="2" charset="0"/>
                <a:ea typeface="+mn-ea"/>
                <a:cs typeface="+mn-cs"/>
              </a:endParaRPr>
            </a:p>
            <a:p>
              <a:r>
                <a:rPr lang="en-GB" sz="1100" b="0">
                  <a:solidFill>
                    <a:schemeClr val="tx1"/>
                  </a:solidFill>
                  <a:effectLst/>
                  <a:latin typeface="Montserrat" pitchFamily="2" charset="0"/>
                  <a:ea typeface="+mn-ea"/>
                  <a:cs typeface="+mn-cs"/>
                </a:rPr>
                <a:t>	</a:t>
              </a:r>
              <a:r>
                <a:rPr lang="en-GB" sz="1100" b="0" i="0">
                  <a:solidFill>
                    <a:schemeClr val="tx1"/>
                  </a:solidFill>
                  <a:effectLst/>
                  <a:latin typeface="Cambria Math" panose="02040503050406030204" pitchFamily="18" charset="0"/>
                  <a:ea typeface="+mn-ea"/>
                  <a:cs typeface="+mn-cs"/>
                </a:rPr>
                <a:t>𝐹</a:t>
              </a:r>
              <a:r>
                <a:rPr lang="en-US" sz="1100" b="0" i="0">
                  <a:solidFill>
                    <a:schemeClr val="tx1"/>
                  </a:solidFill>
                  <a:effectLst/>
                  <a:latin typeface="Cambria Math" panose="02040503050406030204" pitchFamily="18" charset="0"/>
                  <a:ea typeface="+mn-ea"/>
                  <a:cs typeface="+mn-cs"/>
                </a:rPr>
                <a:t>𝐹</a:t>
              </a:r>
              <a:r>
                <a:rPr lang="en-GB" sz="1100" b="0" i="0">
                  <a:solidFill>
                    <a:schemeClr val="tx1"/>
                  </a:solidFill>
                  <a:effectLst/>
                  <a:latin typeface="Cambria Math" panose="02040503050406030204" pitchFamily="18" charset="0"/>
                  <a:ea typeface="+mn-ea"/>
                  <a:cs typeface="+mn-cs"/>
                </a:rPr>
                <a:t>𝐷𝑅_𝑚=(((𝑓〖𝑚 𝑐𝑜𝑛𝑡𝑒𝑛𝑡〗_(𝑡𝑦𝑝𝑒 1)  (%))/(𝑓𝑚 𝑦𝑖𝑒𝑙𝑑_(𝑡𝑦𝑝𝑒 1)  (%) )</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𝑓𝑒𝑒𝑑 𝑢𝑠𝑒_(𝑡𝑦𝑝𝑒 1) (𝑡𝑜𝑛𝑛𝑒𝑠))</a:t>
              </a:r>
              <a:r>
                <a:rPr lang="nl-NL"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((𝑓〖𝑚 𝑐𝑜𝑛𝑡𝑒𝑛𝑡〗_(𝑡𝑦𝑝𝑒 2)  (%))/(𝑓𝑚 𝑦𝑖𝑒𝑙𝑑_(𝑡𝑦𝑝𝑒 2)  (%) )</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𝑓𝑒𝑒𝑑 𝑢𝑠𝑒_(𝑡𝑦𝑝𝑒 2) (𝑡𝑜𝑛𝑛𝑒𝑠))</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𝑒𝑡𝑐)/(𝑡𝑜𝑡𝑎𝑙 𝑓𝑒𝑒𝑑 𝑢𝑠𝑒 (𝑡𝑜𝑛𝑛𝑒𝑠))∗𝑒𝐹𝐶𝑅</a:t>
              </a:r>
              <a:r>
                <a:rPr lang="en-US" sz="1100" b="0" i="0">
                  <a:solidFill>
                    <a:schemeClr val="tx1"/>
                  </a:solidFill>
                  <a:effectLst/>
                  <a:latin typeface="Montserrat" panose="00000500000000000000" pitchFamily="2" charset="0"/>
                  <a:ea typeface="+mn-ea"/>
                  <a:cs typeface="+mn-cs"/>
                </a:rPr>
                <a:t>   </a:t>
              </a:r>
            </a:p>
            <a:p>
              <a:endParaRPr lang="en-GB" sz="1100" b="1" i="0">
                <a:solidFill>
                  <a:schemeClr val="tx1"/>
                </a:solidFill>
                <a:effectLst/>
                <a:latin typeface="Montserrat" panose="00000500000000000000" pitchFamily="2" charset="0"/>
                <a:ea typeface="+mn-ea"/>
                <a:cs typeface="+mn-cs"/>
              </a:endParaRPr>
            </a:p>
            <a:p>
              <a:r>
                <a:rPr lang="en-US" sz="1100" b="1" i="0">
                  <a:solidFill>
                    <a:schemeClr val="tx1"/>
                  </a:solidFill>
                  <a:effectLst/>
                  <a:latin typeface="Montserrat" panose="00000500000000000000" pitchFamily="2" charset="0"/>
                  <a:ea typeface="+mn-ea"/>
                  <a:cs typeface="+mn-cs"/>
                </a:rPr>
                <a:t>FFDRo </a:t>
              </a:r>
              <a:r>
                <a:rPr lang="en-US" sz="1100" b="0" i="0">
                  <a:solidFill>
                    <a:schemeClr val="tx1"/>
                  </a:solidFill>
                  <a:effectLst/>
                  <a:latin typeface="Montserrat" panose="00000500000000000000" pitchFamily="2" charset="0"/>
                  <a:ea typeface="+mn-ea"/>
                  <a:cs typeface="+mn-cs"/>
                </a:rPr>
                <a:t>(Calculated field)</a:t>
              </a:r>
              <a:endParaRPr lang="en-GB" sz="1100" b="0" i="0">
                <a:solidFill>
                  <a:schemeClr val="tx1"/>
                </a:solidFill>
                <a:effectLst/>
                <a:latin typeface="Montserrat" panose="00000500000000000000" pitchFamily="2" charset="0"/>
                <a:ea typeface="+mn-ea"/>
                <a:cs typeface="+mn-cs"/>
              </a:endParaRPr>
            </a:p>
            <a:p>
              <a:r>
                <a:rPr lang="en-US" sz="1100" b="0" i="0">
                  <a:solidFill>
                    <a:schemeClr val="tx1"/>
                  </a:solidFill>
                  <a:effectLst/>
                  <a:latin typeface="Montserrat" panose="00000500000000000000" pitchFamily="2" charset="0"/>
                  <a:ea typeface="+mn-ea"/>
                  <a:cs typeface="+mn-cs"/>
                </a:rPr>
                <a:t>The FFDRo is automatically calculated for each species. The FFDRo calculation is a weighted average and takes into account differences in content and yield between the used feed types and is calculated as follows:</a:t>
              </a:r>
            </a:p>
            <a:p>
              <a:endParaRPr lang="en-GB" sz="1100" b="0" i="0">
                <a:solidFill>
                  <a:schemeClr val="tx1"/>
                </a:solidFill>
                <a:effectLst/>
                <a:latin typeface="Montserrat" panose="00000500000000000000" pitchFamily="2" charset="0"/>
                <a:ea typeface="+mn-ea"/>
                <a:cs typeface="+mn-cs"/>
              </a:endParaRPr>
            </a:p>
            <a:p>
              <a:r>
                <a:rPr lang="en-GB" sz="1100" b="0">
                  <a:solidFill>
                    <a:schemeClr val="tx1"/>
                  </a:solidFill>
                  <a:effectLst/>
                  <a:latin typeface="Montserrat" pitchFamily="2" charset="0"/>
                  <a:ea typeface="+mn-ea"/>
                  <a:cs typeface="+mn-cs"/>
                </a:rPr>
                <a:t>	</a:t>
              </a:r>
              <a:r>
                <a:rPr lang="en-GB" sz="1100" b="0" i="0">
                  <a:solidFill>
                    <a:schemeClr val="tx1"/>
                  </a:solidFill>
                  <a:effectLst/>
                  <a:latin typeface="Cambria Math" panose="02040503050406030204" pitchFamily="18" charset="0"/>
                  <a:ea typeface="+mn-ea"/>
                  <a:cs typeface="+mn-cs"/>
                </a:rPr>
                <a:t>𝐹𝐹𝐷𝑅_𝑜=(((𝑓〖𝑜 𝑐𝑜𝑛𝑡𝑒𝑛𝑡〗_(𝑡𝑦𝑝𝑒 1)  (%))/(𝑓𝑜 𝑦𝑖𝑒𝑙𝑑_(𝑡𝑦𝑝𝑒 1)  (%) )</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𝑓𝑒𝑒𝑑 𝑢𝑠𝑒_(𝑡𝑦𝑝𝑒 1) (𝑡𝑜𝑛𝑛𝑒𝑠))</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((〖𝑓𝑜 𝑐𝑜𝑛𝑡𝑒𝑛𝑡〗_(𝑡𝑦𝑝𝑒 2)  (%))/(𝑓𝑜 𝑦𝑖𝑒𝑙𝑑_(𝑡𝑦𝑝𝑒 2)  (%) )</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𝑓𝑒𝑒𝑑 𝑢𝑠𝑒_(𝑡𝑦𝑝𝑒 2) (𝑡𝑜𝑛𝑛𝑒𝑠))</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𝑒𝑡𝑐)/(𝑡𝑜𝑡𝑎𝑙 𝑓𝑒𝑒𝑑 𝑢𝑠𝑒 (𝑡𝑜𝑛𝑛𝑒𝑠))∗𝑒𝐹𝐶𝑅</a:t>
              </a:r>
              <a:r>
                <a:rPr lang="en-GB" sz="1100" b="0" i="0">
                  <a:solidFill>
                    <a:schemeClr val="tx1"/>
                  </a:solidFill>
                  <a:effectLst/>
                  <a:latin typeface="Montserrat" panose="00000500000000000000" pitchFamily="2" charset="0"/>
                  <a:ea typeface="+mn-ea"/>
                  <a:cs typeface="+mn-cs"/>
                </a:rPr>
                <a:t> </a:t>
              </a:r>
            </a:p>
            <a:p>
              <a:endParaRPr lang="en-US" sz="1100" b="1" i="0">
                <a:solidFill>
                  <a:sysClr val="windowText" lastClr="000000"/>
                </a:solidFill>
                <a:effectLst/>
                <a:latin typeface="Montserrat" panose="00000500000000000000" pitchFamily="2" charset="0"/>
                <a:ea typeface="+mn-ea"/>
                <a:cs typeface="+mn-cs"/>
              </a:endParaRPr>
            </a:p>
            <a:p>
              <a:r>
                <a:rPr lang="en-US" sz="1100" b="1" i="0">
                  <a:solidFill>
                    <a:schemeClr val="tx1"/>
                  </a:solidFill>
                  <a:effectLst/>
                  <a:latin typeface="Montserrat" panose="00000500000000000000" pitchFamily="2" charset="0"/>
                  <a:ea typeface="+mn-ea"/>
                  <a:cs typeface="+mn-cs"/>
                </a:rPr>
                <a:t>EPA and DHA in feed (g/kg) </a:t>
              </a:r>
              <a:r>
                <a:rPr lang="en-US" sz="1100" b="0" i="0">
                  <a:solidFill>
                    <a:schemeClr val="tx1"/>
                  </a:solidFill>
                  <a:effectLst/>
                  <a:latin typeface="Montserrat" panose="00000500000000000000" pitchFamily="2" charset="0"/>
                  <a:ea typeface="+mn-ea"/>
                  <a:cs typeface="+mn-cs"/>
                </a:rPr>
                <a:t>(Calculated field)</a:t>
              </a:r>
            </a:p>
            <a:p>
              <a:r>
                <a:rPr lang="en-US" sz="1100" b="0" i="0">
                  <a:solidFill>
                    <a:schemeClr val="tx1"/>
                  </a:solidFill>
                  <a:effectLst/>
                  <a:latin typeface="Montserrat" panose="00000500000000000000" pitchFamily="2" charset="0"/>
                  <a:ea typeface="+mn-ea"/>
                  <a:cs typeface="+mn-cs"/>
                </a:rPr>
                <a:t>The EPA &amp; DHA in feed in g/kg of feed is automatically calculated for each species. </a:t>
              </a:r>
              <a:r>
                <a:rPr lang="en-US" sz="1100">
                  <a:solidFill>
                    <a:sysClr val="windowText" lastClr="000000"/>
                  </a:solidFill>
                  <a:effectLst/>
                  <a:latin typeface="Montserrat" panose="00000500000000000000" pitchFamily="2" charset="0"/>
                  <a:ea typeface="+mn-ea"/>
                  <a:cs typeface="+mn-cs"/>
                </a:rPr>
                <a:t>If the fish oil content varies in different feeds used during production, a weighted average is calculated. The grams of fish oil relate to fish oil originating from forage fisheries for industrial purposes. The EPA and DHA in feed</a:t>
              </a:r>
              <a:r>
                <a:rPr lang="en-US" sz="1100" baseline="0">
                  <a:solidFill>
                    <a:sysClr val="windowText" lastClr="000000"/>
                  </a:solidFill>
                  <a:effectLst/>
                  <a:latin typeface="Montserrat" panose="00000500000000000000" pitchFamily="2" charset="0"/>
                  <a:ea typeface="+mn-ea"/>
                  <a:cs typeface="+mn-cs"/>
                </a:rPr>
                <a:t> is calculated as follows:</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anose="00000500000000000000" pitchFamily="2" charset="0"/>
                  <a:ea typeface="+mn-ea"/>
                  <a:cs typeface="+mn-cs"/>
                </a:rPr>
                <a:t> </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r>
                <a:rPr lang="en-GB" sz="1100" i="0">
                  <a:solidFill>
                    <a:sysClr val="windowText" lastClr="000000"/>
                  </a:solidFill>
                  <a:effectLst/>
                  <a:latin typeface="Cambria Math" panose="02040503050406030204" pitchFamily="18" charset="0"/>
                  <a:ea typeface="+mn-ea"/>
                  <a:cs typeface="+mn-cs"/>
                </a:rPr>
                <a:t>𝐸𝑃𝐴 𝑎𝑛𝑑 𝐷𝐻𝐴 𝑖𝑛 𝑓𝑒𝑒𝑑 (𝑔/𝑘𝑔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𝑡𝑜𝑡𝑎𝑙 𝐸𝑃𝐴 𝑎𝑛𝑑 𝐷𝐻𝐴 𝑖𝑛 𝑓𝑒𝑒𝑑 (𝑔)</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𝑡𝑜𝑡𝑎𝑙 𝑓𝑒𝑒𝑑 𝑢𝑠𝑒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𝑡𝑜𝑛𝑛𝑒𝑠)</a:t>
              </a:r>
              <a:r>
                <a:rPr lang="de-DE" sz="1100" b="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a:t>
              </a:r>
              <a:r>
                <a:rPr lang="de-DE" sz="1100" b="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1000</a:t>
              </a:r>
              <a:r>
                <a:rPr lang="en-NL" sz="1100" i="0">
                  <a:solidFill>
                    <a:sysClr val="windowText" lastClr="000000"/>
                  </a:solidFill>
                  <a:effectLst/>
                  <a:latin typeface="Cambria Math" panose="02040503050406030204" pitchFamily="18" charset="0"/>
                  <a:ea typeface="+mn-ea"/>
                  <a:cs typeface="+mn-cs"/>
                </a:rPr>
                <a:t>)</a:t>
              </a:r>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anose="00000500000000000000" pitchFamily="2" charset="0"/>
                  <a:ea typeface="+mn-ea"/>
                  <a:cs typeface="+mn-cs"/>
                </a:rPr>
                <a:t>Where total EPA and DHA in feed is calculated as follows:</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r>
                <a:rPr lang="en-GB" sz="1100">
                  <a:solidFill>
                    <a:sysClr val="windowText" lastClr="000000"/>
                  </a:solidFill>
                  <a:effectLst/>
                  <a:ea typeface="+mn-ea"/>
                  <a:cs typeface="+mn-cs"/>
                </a:rPr>
                <a:t>	</a:t>
              </a:r>
              <a:r>
                <a:rPr lang="en-GB" sz="1100" i="0">
                  <a:solidFill>
                    <a:sysClr val="windowText" lastClr="000000"/>
                  </a:solidFill>
                  <a:effectLst/>
                  <a:latin typeface="Cambria Math" panose="02040503050406030204" pitchFamily="18" charset="0"/>
                  <a:ea typeface="+mn-ea"/>
                  <a:cs typeface="+mn-cs"/>
                </a:rPr>
                <a:t>𝑡𝑜𝑡𝑎𝑙 𝐸𝑃𝐴 𝑎𝑛𝑑 𝐷𝐻𝐴 𝑖𝑛 𝑓𝑒𝑒𝑑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𝑔)=</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𝐸𝑃𝐴 𝑎𝑛𝑑 𝐷𝐻𝐴 𝑐𝑜𝑛𝑡𝑒𝑛𝑡</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1</a:t>
              </a:r>
              <a:r>
                <a:rPr lang="en-NL" sz="110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%)∗𝑓𝑜 𝑐𝑜𝑛𝑡𝑒𝑛𝑡</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1</a:t>
              </a:r>
              <a:r>
                <a:rPr lang="en-NL" sz="110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%)∗𝑓𝑒𝑒𝑑 𝑢𝑠𝑒</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1</a:t>
              </a:r>
              <a:r>
                <a:rPr lang="en-NL" sz="110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𝑡𝑜𝑛𝑛𝑒𝑠)∗100)+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𝐸𝑃𝐴 𝑎𝑛𝑑 𝐷𝐻𝐴 𝑐𝑜𝑛𝑡𝑒𝑛𝑡</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2</a:t>
              </a:r>
              <a:r>
                <a:rPr lang="en-NL" sz="110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%)∗𝑓𝑜 𝑐𝑜𝑛𝑡𝑒𝑛𝑡</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2</a:t>
              </a:r>
              <a:r>
                <a:rPr lang="en-NL" sz="110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%)∗𝑓𝑒𝑒𝑑 𝑢𝑠𝑒</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2</a:t>
              </a:r>
              <a:r>
                <a:rPr lang="en-NL" sz="110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𝑡𝑜𝑛𝑛𝑒𝑠)∗100)+𝑒𝑡𝑐</a:t>
              </a:r>
              <a:endParaRPr lang="en-GB" sz="1100">
                <a:solidFill>
                  <a:sysClr val="windowText" lastClr="000000"/>
                </a:solidFill>
                <a:effectLst/>
                <a:latin typeface="Montserrat" pitchFamily="2" charset="0"/>
                <a:ea typeface="+mn-ea"/>
                <a:cs typeface="+mn-cs"/>
              </a:endParaRPr>
            </a:p>
            <a:p>
              <a:endParaRPr lang="en-GB" sz="1100">
                <a:solidFill>
                  <a:sysClr val="windowText" lastClr="000000"/>
                </a:solidFill>
                <a:effectLst/>
                <a:latin typeface="Montserrat" pitchFamily="2" charset="0"/>
                <a:ea typeface="+mn-ea"/>
                <a:cs typeface="+mn-cs"/>
              </a:endParaRPr>
            </a:p>
            <a:p>
              <a:endParaRPr lang="en-NL" sz="1100" b="1">
                <a:solidFill>
                  <a:sysClr val="windowText" lastClr="000000"/>
                </a:solidFill>
                <a:effectLst/>
                <a:latin typeface="Montserrat" pitchFamily="2" charset="0"/>
              </a:endParaRPr>
            </a:p>
            <a:p>
              <a:r>
                <a:rPr lang="en-US" sz="1100" b="1" i="0">
                  <a:solidFill>
                    <a:sysClr val="windowText" lastClr="000000"/>
                  </a:solidFill>
                  <a:effectLst/>
                  <a:latin typeface="Montserrat" pitchFamily="2" charset="0"/>
                  <a:ea typeface="+mn-ea"/>
                  <a:cs typeface="+mn-cs"/>
                </a:rPr>
                <a:t>EPA</a:t>
              </a:r>
              <a:r>
                <a:rPr lang="en-US" sz="1100" b="1" i="0" baseline="0">
                  <a:solidFill>
                    <a:sysClr val="windowText" lastClr="000000"/>
                  </a:solidFill>
                  <a:effectLst/>
                  <a:latin typeface="Montserrat" pitchFamily="2" charset="0"/>
                  <a:ea typeface="+mn-ea"/>
                  <a:cs typeface="+mn-cs"/>
                </a:rPr>
                <a:t> and DHA in feed </a:t>
              </a:r>
              <a:r>
                <a:rPr lang="en-US" sz="1100" b="1" i="0">
                  <a:solidFill>
                    <a:sysClr val="windowText" lastClr="000000"/>
                  </a:solidFill>
                  <a:effectLst/>
                  <a:latin typeface="Montserrat" pitchFamily="2" charset="0"/>
                  <a:ea typeface="+mn-ea"/>
                  <a:cs typeface="+mn-cs"/>
                </a:rPr>
                <a:t>(% in fish oil) </a:t>
              </a:r>
              <a:r>
                <a:rPr lang="en-US" sz="1100" b="0" i="0">
                  <a:solidFill>
                    <a:sysClr val="windowText" lastClr="000000"/>
                  </a:solidFill>
                  <a:effectLst/>
                  <a:latin typeface="Montserrat" pitchFamily="2" charset="0"/>
                  <a:ea typeface="+mn-ea"/>
                  <a:cs typeface="+mn-cs"/>
                </a:rPr>
                <a:t>(Calculated field)</a:t>
              </a:r>
            </a:p>
            <a:p>
              <a:r>
                <a:rPr lang="en-NL" sz="1100" b="0">
                  <a:solidFill>
                    <a:sysClr val="windowText" lastClr="000000"/>
                  </a:solidFill>
                  <a:effectLst/>
                  <a:latin typeface="Montserrat" pitchFamily="2" charset="0"/>
                </a:rPr>
                <a:t>The EPA &amp; DHA in feed as a percentage in fish oil is automatically calculated for each species. If the fish oil content varies in different feeds used during production, a weighted average is calculated. The percentage in fish oil relate</a:t>
              </a:r>
              <a:r>
                <a:rPr lang="de-DE" sz="1100" b="0">
                  <a:solidFill>
                    <a:sysClr val="windowText" lastClr="000000"/>
                  </a:solidFill>
                  <a:effectLst/>
                  <a:latin typeface="Montserrat" pitchFamily="2" charset="0"/>
                </a:rPr>
                <a:t>s</a:t>
              </a:r>
              <a:r>
                <a:rPr lang="en-NL" sz="1100" b="0">
                  <a:solidFill>
                    <a:sysClr val="windowText" lastClr="000000"/>
                  </a:solidFill>
                  <a:effectLst/>
                  <a:latin typeface="Montserrat" pitchFamily="2" charset="0"/>
                </a:rPr>
                <a:t> to fish oil originating from forage fisheries for industrial purposes. The EPA and DHA in feed (% in fish oil) is calculated as follows:</a:t>
              </a: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pPr/>
              <a:r>
                <a:rPr lang="en-NL" sz="1100" i="0">
                  <a:solidFill>
                    <a:sysClr val="windowText" lastClr="000000"/>
                  </a:solidFill>
                  <a:effectLst/>
                  <a:latin typeface="Cambria Math" panose="02040503050406030204" pitchFamily="18" charset="0"/>
                  <a:ea typeface="+mn-ea"/>
                  <a:cs typeface="+mn-cs"/>
                </a:rPr>
                <a:t>𝑤𝑒𝑖𝑔𝑡ℎ𝑒𝑑 𝐸𝑃𝐴 𝑎𝑛𝑑 𝐷𝐻𝐴 𝑖𝑛 𝑓𝑖𝑠ℎ 𝑜𝑖𝑙 (%)=  ((𝐸𝑃𝐴 𝑎𝑛𝑑 𝐷𝐻𝐴 𝑐𝑜𝑛𝑡𝑒𝑛𝑡_(𝑡𝑦𝑝𝑒 1) (%)∗𝑓𝑒𝑒𝑑 𝑢𝑠𝑒_(𝑡𝑦𝑝𝑒 1) (𝑡𝑜𝑛𝑛𝑒𝑠))+(𝐸𝑃𝐴 𝑎𝑛𝑑 𝐷𝐻𝐴 𝑐𝑜𝑛𝑡𝑒𝑛𝑡_(𝑡𝑦𝑝𝑒 2) (%)∗𝑓𝑒𝑒𝑑 𝑢𝑠𝑒_(𝑡𝑦𝑝𝑒 2) (𝑡𝑜𝑛𝑛𝑒𝑠))+𝑒𝑡𝑐)/(𝑡𝑜𝑡𝑎𝑙 𝑓𝑒𝑒𝑑 𝑢𝑠𝑒 (𝑡𝑜𝑛𝑛𝑒𝑠</a:t>
              </a:r>
              <a:r>
                <a:rPr lang="en-US" sz="1100" b="0" i="0">
                  <a:solidFill>
                    <a:sysClr val="windowText" lastClr="000000"/>
                  </a:solidFill>
                  <a:effectLst/>
                  <a:latin typeface="Cambria Math" panose="02040503050406030204" pitchFamily="18" charset="0"/>
                  <a:ea typeface="+mn-ea"/>
                  <a:cs typeface="+mn-cs"/>
                </a:rPr>
                <a:t>)</a:t>
              </a:r>
              <a:r>
                <a:rPr lang="en-NL" sz="1100" b="0" i="0">
                  <a:solidFill>
                    <a:sysClr val="windowText" lastClr="000000"/>
                  </a:solidFill>
                  <a:effectLst/>
                  <a:latin typeface="Cambria Math" panose="02040503050406030204" pitchFamily="18" charset="0"/>
                  <a:ea typeface="+mn-ea"/>
                  <a:cs typeface="+mn-cs"/>
                </a:rPr>
                <a:t>)</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endParaRPr lang="en-US" sz="1100" b="0" i="0" u="none" strike="noStrike">
                <a:solidFill>
                  <a:sysClr val="windowText" lastClr="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endParaRPr lang="en-US" sz="1100" b="0" i="0" u="none" strike="noStrike">
                <a:solidFill>
                  <a:srgbClr val="000000"/>
                </a:solidFill>
                <a:latin typeface="Montserrat" panose="00000500000000000000" pitchFamily="2" charset="0"/>
                <a:cs typeface="Calibri" panose="020F0502020204030204" pitchFamily="34" charset="0"/>
              </a:endParaRPr>
            </a:p>
          </xdr:txBody>
        </xdr:sp>
      </mc:Fallback>
    </mc:AlternateContent>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86CDD3C1-AD8A-456B-B678-775819375C43}" name="Table126" displayName="Table126" ref="C4:O200" totalsRowShown="0" headerRowDxfId="488" dataDxfId="487">
  <tableColumns count="13">
    <tableColumn id="2" xr3:uid="{397697C0-F640-40FE-86E5-8CE54F041033}" name="Site name" dataDxfId="486"/>
    <tableColumn id="1" xr3:uid="{97E12BA7-5961-47AF-9064-E217F0E5948E}" name="ASC site ID" dataDxfId="485"/>
    <tableColumn id="3" xr3:uid="{0B070CB7-188D-4AF2-B80E-7B9575683689}" name="Species in production (Latin name) (select)" dataDxfId="484"/>
    <tableColumn id="7" xr3:uid="{C33E4690-9FE1-43E9-A7B7-F8B4E6DC4BF1}" name="Cycle ID" dataDxfId="483"/>
    <tableColumn id="16" xr3:uid="{7FA2B8D4-7702-4056-B179-899B172741A0}" name="Production cycle start _x000a_(dd-mm-yyyy)" dataDxfId="482"/>
    <tableColumn id="15" xr3:uid="{F9F7B276-ADAE-4F72-868A-76FDF48C7EB1}" name="Production cycle end _x000a_(dd-mm-yyyy)" dataDxfId="481"/>
    <tableColumn id="4" xr3:uid="{024F4006-50C5-4E3D-AA6F-536EC10C108D}" name="ASC certified stocked volume (tonnes)" dataDxfId="480"/>
    <tableColumn id="5" xr3:uid="{62F6369A-80BA-4B50-AA50-1FEF5AE78F53}" name="ASC certified harvested production volume (tonnes)" dataDxfId="479"/>
    <tableColumn id="12" xr3:uid="{B4DA9E9E-4A58-4642-B28E-916443C4B4F7}" name="Stocking count _x000a_(# animals)" dataDxfId="478"/>
    <tableColumn id="11" xr3:uid="{974913BA-2A2C-4991-80F2-8D2BEE587E44}" name="Harvest count _x000a_(# animals)" dataDxfId="477"/>
    <tableColumn id="6" xr3:uid="{63064890-9044-44C7-9C6E-DDAEF96EE771}" name="Non-ASC certified harvested production volume (tonnes)" dataDxfId="476"/>
    <tableColumn id="10" xr3:uid="{7A350BFD-114F-4008-8EA1-6B910A417A05}" name="ASC certified net production volume (tonnes)" dataDxfId="475">
      <calculatedColumnFormula>IF(Table126[[#This Row],[Site name]]= "", "",(Table126[[#This Row],[ASC certified harvested production volume (tonnes)]])-(Table126[[#This Row],[ASC certified stocked volume (tonnes)]]))</calculatedColumnFormula>
    </tableColumn>
    <tableColumn id="13" xr3:uid="{FEBF8C57-95AC-4B90-B275-EDE93BFBCCC0}" name="Notes" dataDxfId="474"/>
  </tableColumns>
  <tableStyleInfo name="TableStyleMedium13"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1" xr:uid="{DEFA45DB-659C-47AB-BF19-CE3B69FEC812}" name="Table5172" displayName="Table5172" ref="AA4:AE19" totalsRowShown="0" headerRowDxfId="406" dataDxfId="404" headerRowBorderDxfId="405" tableBorderDxfId="403">
  <autoFilter ref="AA4:AE19" xr:uid="{DEFA45DB-659C-47AB-BF19-CE3B69FEC812}"/>
  <tableColumns count="5">
    <tableColumn id="1" xr3:uid="{2CB93451-1862-46D2-84ED-47022E55F5BA}" name="Abiotic index ref" dataDxfId="402"/>
    <tableColumn id="2" xr3:uid="{0BEC3542-D068-47CD-AC80-E48357C4942B}" name="Equal or larger than" dataDxfId="401"/>
    <tableColumn id="3" xr3:uid="{9524E834-D2A7-4B55-9FBB-88D21FB7D84B}" name="smaller than" dataDxfId="400"/>
    <tableColumn id="4" xr3:uid="{2070E6A3-AD25-4808-9009-EF14C2864338}" name="EQS category ref" dataDxfId="399"/>
    <tableColumn id="5" xr3:uid="{A43D2156-3D3D-4B6C-9D60-F877302816F7}" name="Notes" dataDxfId="398"/>
  </tableColumns>
  <tableStyleInfo name="TableStyleMedium13"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AA83C77C-D70E-4B81-832C-AE195507934B}" name="Table20" displayName="Table20" ref="AA23:AE28" totalsRowShown="0" headerRowDxfId="397" dataDxfId="396">
  <autoFilter ref="AA23:AE28" xr:uid="{AA83C77C-D70E-4B81-832C-AE195507934B}"/>
  <tableColumns count="5">
    <tableColumn id="1" xr3:uid="{A94B85B7-8D91-40DE-8E55-34C9CB0F7F0E}" name="EQS category ref" dataDxfId="395"/>
    <tableColumn id="2" xr3:uid="{924D3729-AA0A-4C3C-BC75-0C7F29FFD8F4}" name="Larger than" dataDxfId="394"/>
    <tableColumn id="3" xr3:uid="{40FCFF91-4FDB-4BB4-897F-9FE932035F17}" name="Equal or smaller than" dataDxfId="393"/>
    <tableColumn id="4" xr3:uid="{A1C75C4E-0505-4B86-96E9-E9EB76690665}" name="Zone EQS score per indicator" dataDxfId="392"/>
    <tableColumn id="5" xr3:uid="{86EE2B33-02AD-4173-84AA-366BFD4522E2}" name="Notes" dataDxfId="391"/>
  </tableColumns>
  <tableStyleInfo name="TableStyleMedium13"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3A25C1C2-445C-4611-AE23-9D764CAF940B}" name="Table56" displayName="Table56" ref="C57:H69" totalsRowShown="0" headerRowDxfId="390" dataDxfId="389">
  <tableColumns count="6">
    <tableColumn id="1" xr3:uid="{6CDD5099-76A8-42FA-AE03-824DE4CC6732}" name="Site name" dataDxfId="388"/>
    <tableColumn id="4" xr3:uid="{E59D5E27-0F91-4929-840B-EA9FE9AB5A87}" name="Biotic indicator" dataDxfId="387">
      <calculatedColumnFormula>E8</calculatedColumnFormula>
    </tableColumn>
    <tableColumn id="3" xr3:uid="{E8EBA17D-47B5-407D-93D4-6E4F481E19D3}" name="EQS sampling zone" dataDxfId="386"/>
    <tableColumn id="5" xr3:uid="{255978A0-6341-45E1-87FD-B5D9ADDCD160}" name="Avg. indicator value" dataDxfId="385">
      <calculatedColumnFormula>AVERAGE(I5:J5,I9:J9,I13:J13,I17:J17)</calculatedColumnFormula>
    </tableColumn>
    <tableColumn id="2" xr3:uid="{DD23238B-F196-4C73-9D30-1406A7E294B6}" name="EQS category" dataDxfId="384">
      <calculatedColumnFormula array="1" xml:space="preserve"> IFERROR(INDEX(Table9[EQS category ref], MATCH(1, (Table56[[#This Row],[Biotic indicator]]=Table9[Biotic index ref])*(Table56[[#This Row],[Avg. indicator value]]&gt;=Table9[Equal or larger than (x≥)])*(Table56[[#This Row],[Avg. indicator value]]&lt;Table9[smaller than (x&lt;)]),0)),"")</calculatedColumnFormula>
    </tableColumn>
    <tableColumn id="8" xr3:uid="{433FA835-4B09-4507-8B71-8FF470AAE3FB}" name="Indicator EQS score" dataDxfId="383">
      <calculatedColumnFormula array="1">IFERROR(_xlfn.IFS(Table56[[#This Row],[EQS category]]="Bad",5, Table56[[#This Row],[EQS category]]="Poor",4, Table56[[#This Row],[EQS category]]="Moderate",3, Table56[[#This Row],[EQS category]]="Good",2, Table56[[#This Row],[EQS category]]="High",1),"")</calculatedColumnFormula>
    </tableColumn>
  </tableColumns>
  <tableStyleInfo name="TableStyleMedium13"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5F207343-F816-435B-AC9A-D7B00084578B}" name="Table57" displayName="Table57" ref="C73:F77" totalsRowShown="0" headerRowDxfId="382" dataDxfId="381">
  <tableColumns count="4">
    <tableColumn id="1" xr3:uid="{5271AEC8-27C6-4D19-9B4D-8820A39BA910}" name="Site name " dataDxfId="380">
      <calculatedColumnFormula>C58</calculatedColumnFormula>
    </tableColumn>
    <tableColumn id="3" xr3:uid="{D0F78312-CB61-468A-8F3D-1C86F5A68366}" name="EQS sampling zone" dataDxfId="379">
      <calculatedColumnFormula>Table56[[#This Row],[EQS sampling zone]]</calculatedColumnFormula>
    </tableColumn>
    <tableColumn id="2" xr3:uid="{FEAB0D1B-0DA1-450E-9A8B-7CC646D4D675}" name="Zone EQS score" dataDxfId="378">
      <calculatedColumnFormula>(H58+H59+H60)/3</calculatedColumnFormula>
    </tableColumn>
    <tableColumn id="4" xr3:uid="{E2F36895-EB31-4F96-A926-6F063E12650F}" name="Zone EQS category" dataDxfId="377">
      <calculatedColumnFormula array="1" xml:space="preserve"> IFERROR(INDEX(Table204[EQS category ref], MATCH(1,(Table57[[#This Row],[Zone EQS score]]&gt;Table204[Larger than])*(Table57[[#This Row],[Zone EQS score]]&lt;=Table204[Equal or smaller than]),0)),"")</calculatedColumnFormula>
    </tableColumn>
  </tableColumns>
  <tableStyleInfo name="TableStyleMedium13"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8F5721DC-C460-42B2-B8F8-EE50AEE940E5}" name="Table58" displayName="Table58" ref="C81:D82" totalsRowShown="0" headerRowDxfId="376" dataDxfId="375">
  <tableColumns count="2">
    <tableColumn id="1" xr3:uid="{ED37F06B-DBF9-4BDC-864B-3578F1F7F769}" name="Site name" dataDxfId="374">
      <calculatedColumnFormula>C74</calculatedColumnFormula>
    </tableColumn>
    <tableColumn id="3" xr3:uid="{D4329557-D384-4C3D-B52C-A3A29A493294}" name="Benthic status - Level 3" dataDxfId="373">
      <calculatedColumnFormula array="1">IFERROR(INDEX(Table40[Benthic status], MATCH(1, (F77=Table40[[Reference zone ]])*(F76=Table40[Farm monitoring zone 1])*(F75=Table40[Farm monitoring zone 2])*(F74=Table40[Farm monitoring zone 3]), 0)),"")</calculatedColumnFormula>
    </tableColumn>
  </tableColumns>
  <tableStyleInfo name="TableStyleMedium13"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82149515-FBC9-4CEA-B38B-5E2F22A4D8E0}" name="Table1" displayName="Table1" ref="C4:K52" totalsRowShown="0" headerRowDxfId="372" dataDxfId="371">
  <tableColumns count="9">
    <tableColumn id="1" xr3:uid="{AB1DF2E2-2DA1-4F69-A2E2-B772D2E8CDDC}" name="Site name" dataDxfId="370"/>
    <tableColumn id="2" xr3:uid="{93344035-30CA-4BEE-87CF-47A199315728}" name="Sampling date _x000a_(dd-mm-yyyy)" dataDxfId="369"/>
    <tableColumn id="6" xr3:uid="{B9280C6E-1FF4-4FB1-95D9-256C5F154828}" name="Biotic indicator (select)" dataDxfId="368"/>
    <tableColumn id="5" xr3:uid="{97D7C27A-0840-48C9-9734-DEF6EB96A266}" name="Direction compared to water flow" dataDxfId="367"/>
    <tableColumn id="3" xr3:uid="{1565521B-F2F4-47CF-AD60-76AF77A091A7}" name="EQS sampling zone" dataDxfId="366"/>
    <tableColumn id="4" xr3:uid="{6EF98EEA-3AAC-4287-B1F4-F6B3BB7D121B}" name="Distance from edge of cages (m)" dataDxfId="365"/>
    <tableColumn id="7" xr3:uid="{54542326-FDBC-481B-AC7F-92A0857E5CB1}" name="Avg. value - sample 1" dataDxfId="364"/>
    <tableColumn id="9" xr3:uid="{E0016E49-E4CF-4B8C-9CA8-D75579B4A5E1}" name="Avg. value - sample 2" dataDxfId="363"/>
    <tableColumn id="10" xr3:uid="{EAF01EC0-D075-49EC-ABA1-3E303560B519}" name="Notes" dataDxfId="362"/>
  </tableColumns>
  <tableStyleInfo name="TableStyleMedium13"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688BC72E-181E-4F97-BCFD-3514B85DF0C5}" name="Table9" displayName="Table9" ref="AB4:AF74" totalsRowShown="0" headerRowDxfId="361" dataDxfId="360">
  <tableColumns count="5">
    <tableColumn id="1" xr3:uid="{E8EFB850-5D95-4092-B6FB-489BA22D8D72}" name="Biotic index ref" dataDxfId="359"/>
    <tableColumn id="2" xr3:uid="{A1144CC4-C672-42B2-841B-31ADABA02B01}" name="Equal or larger than (x≥)" dataDxfId="358"/>
    <tableColumn id="5" xr3:uid="{0311B541-D336-402D-A2F2-4DC43760BFAB}" name="smaller than (x&lt;)" dataDxfId="357"/>
    <tableColumn id="3" xr3:uid="{4ECF96BC-7B14-4CEA-92BE-7EDE7A56A134}" name="EQS category ref" dataDxfId="356"/>
    <tableColumn id="4" xr3:uid="{1A575A7D-9326-4F5A-91E8-8486A21F6955}" name="Notes" dataDxfId="355"/>
  </tableColumns>
  <tableStyleInfo name="TableStyleMedium13"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A5D7E37D-BEF8-4592-8450-EA7F5F401FEA}" name="Table40" displayName="Table40" ref="AH4:AL629" totalsRowShown="0" headerRowDxfId="354" dataDxfId="353">
  <autoFilter ref="AH4:AL629" xr:uid="{A5D7E37D-BEF8-4592-8450-EA7F5F401FEA}"/>
  <tableColumns count="5">
    <tableColumn id="1" xr3:uid="{E98AED81-6EA6-4A9B-B105-AADB95B4CFA1}" name="Reference zone " dataDxfId="352"/>
    <tableColumn id="2" xr3:uid="{B0B03650-4EE4-4397-97A7-B37909D79F04}" name="Farm monitoring zone 1" dataDxfId="351"/>
    <tableColumn id="3" xr3:uid="{0A66A574-6646-4D2F-8FFD-FE7C36C01159}" name="Farm monitoring zone 2" dataDxfId="350"/>
    <tableColumn id="4" xr3:uid="{787CC75E-0E95-4505-99F8-8A690716BE15}" name="Farm monitoring zone 3" dataDxfId="349"/>
    <tableColumn id="5" xr3:uid="{D3A35064-ABCB-4DA5-84F2-639EAB687962}" name="Benthic status" dataDxfId="348"/>
  </tableColumns>
  <tableStyleInfo name="TableStyleMedium13"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AB29C084-0859-4C47-95D6-DF4179B35BC2}" name="Table204" displayName="Table204" ref="AB78:AF83" totalsRowShown="0" headerRowDxfId="347" dataDxfId="346">
  <autoFilter ref="AB78:AF83" xr:uid="{AB29C084-0859-4C47-95D6-DF4179B35BC2}"/>
  <tableColumns count="5">
    <tableColumn id="1" xr3:uid="{3BD300B9-8D89-4B25-800B-E97B07358A50}" name="EQS category ref" dataDxfId="345"/>
    <tableColumn id="2" xr3:uid="{F1A08CFD-1CFA-4623-A3A1-2A4F40E4448B}" name="Larger than" dataDxfId="344"/>
    <tableColumn id="3" xr3:uid="{04633E39-432B-432F-819B-F72BD04B1184}" name="Equal or smaller than" dataDxfId="343"/>
    <tableColumn id="4" xr3:uid="{8740E0BB-480E-4F27-90E6-8A1D32150A7C}" name="Zone EQS score per indicator" dataDxfId="342"/>
    <tableColumn id="5" xr3:uid="{B8084D78-7AB4-4C1B-9E14-20E6192E70ED}" name="Notes" dataDxfId="341"/>
  </tableColumns>
  <tableStyleInfo name="TableStyleMedium13"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8" xr:uid="{EB796607-EB1B-444A-BB3F-7A773C020D93}" name="Table68" displayName="Table68" ref="C18:K48" totalsRowShown="0" headerRowDxfId="340" dataDxfId="339">
  <tableColumns count="9">
    <tableColumn id="1" xr3:uid="{7B02BCB4-0819-47F1-9615-5610D2BD0126}" name="Site name" dataDxfId="338"/>
    <tableColumn id="2" xr3:uid="{299F8254-6B1C-456E-A8DF-560DFCABE57D}" name="Sampling date (dd-mm-yyyy)" dataDxfId="337"/>
    <tableColumn id="3" xr3:uid="{CD530C35-7A55-4545-A96D-86D8D30D802B}" name="Abiotic indicator" dataDxfId="336"/>
    <tableColumn id="4" xr3:uid="{44B3928D-4E5D-4175-B15F-237587915340}" name="Direction compared to water flow" dataDxfId="335"/>
    <tableColumn id="5" xr3:uid="{F683EAA2-05D5-4D16-AA7E-44DE35B5D30E}" name="EQS sampling zone" dataDxfId="334"/>
    <tableColumn id="6" xr3:uid="{6D32B4D9-B2D1-4B4A-A6DB-3A85322F780C}" name="Distance from site boundary (m)" dataDxfId="333"/>
    <tableColumn id="7" xr3:uid="{A3C74AE2-0B4D-4B43-8484-DC15EE7E0829}" name="Avg. value - sample 1" dataDxfId="332"/>
    <tableColumn id="8" xr3:uid="{24369B05-83D4-4FEF-A66D-04841970A92D}" name="Avg. value - sample 2" dataDxfId="331"/>
    <tableColumn id="9" xr3:uid="{B7ADFCE8-C279-4D1C-8180-D02F0503CA6B}" name="Notes" dataDxfId="330"/>
  </tableColumns>
  <tableStyleInfo name="TableStyleMedium13"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7D951244-574C-4DD5-957B-E911ABD761ED}" name="Table2" displayName="Table2" ref="C4:H50" totalsRowShown="0" headerRowDxfId="473" dataDxfId="472">
  <tableColumns count="6">
    <tableColumn id="2" xr3:uid="{D93C199E-D571-4A8C-8694-6DCF2C98F1AD}" name="Species in production (latin name) (select)" dataDxfId="471"/>
    <tableColumn id="8" xr3:uid="{4331F7AA-477F-4CE7-A58B-8F770EEF7B99}" name="Cycle ID (select)" dataDxfId="470"/>
    <tableColumn id="9" xr3:uid="{3841ED33-C534-42A4-A73B-9B21494276EA}" name="Date of event (dd-mm-yyyy) " dataDxfId="469"/>
    <tableColumn id="4" xr3:uid="{50C672C4-0CB6-4C1F-BF77-B31D95F28559}" name="Number of escapees (# animals)" dataDxfId="468"/>
    <tableColumn id="3" xr3:uid="{36C045EC-FA8E-48F1-AE04-52F30472E2D7}" name="Cause of escape event (select)" dataDxfId="467"/>
    <tableColumn id="5" xr3:uid="{37996EF0-1C0B-43F8-9636-431BFD50E3E6}" name="Notes" dataDxfId="466"/>
  </tableColumns>
  <tableStyleInfo name="TableStyleMedium13"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9" xr:uid="{C80FA44A-1B10-4AAD-AACA-699E2D8A590E}" name="Table69" displayName="Table69" ref="C4:K14" totalsRowShown="0" headerRowDxfId="329" dataDxfId="328">
  <tableColumns count="9">
    <tableColumn id="1" xr3:uid="{2E46E317-6205-4053-9624-550724D2375F}" name="Site name" dataDxfId="327"/>
    <tableColumn id="2" xr3:uid="{1CD05770-29EB-47F3-85EC-6409F0CA923A}" name="Sampling date (dd-mm-yyyy)" dataDxfId="326"/>
    <tableColumn id="3" xr3:uid="{0E4EB74A-748C-4C48-9A11-488163C0E6F5}" name="Abiotic indicator (select)" dataDxfId="325"/>
    <tableColumn id="4" xr3:uid="{376C8532-75B4-4382-8DF7-59B895F67B7A}" name="Direction compared to water flow" dataDxfId="324"/>
    <tableColumn id="5" xr3:uid="{6BE3CB95-56C2-4C04-9290-868058FF42B3}" name="EQS sampling zone" dataDxfId="323"/>
    <tableColumn id="6" xr3:uid="{D840C9DD-6910-4A4B-8309-E9AFD3907FC0}" name="Distance from site boundary (m)" dataDxfId="322"/>
    <tableColumn id="7" xr3:uid="{086C95B6-394D-474A-8E54-8288F570C46A}" name="Avg. value - sample 1" dataDxfId="321"/>
    <tableColumn id="8" xr3:uid="{9E27EDC2-7041-4026-894A-D85168BE44A4}" name="Avg. value - sample 2" dataDxfId="320"/>
    <tableColumn id="9" xr3:uid="{09914ABA-9BA9-4960-A3C8-23BF1E9AB612}" name="Notes" dataDxfId="319"/>
  </tableColumns>
  <tableStyleInfo name="TableStyleMedium13"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0" xr:uid="{727B62E2-2C8D-4D4D-B928-4716F871BAE2}" name="Table4771" displayName="Table4771" ref="C52:H58" totalsRowShown="0" headerRowDxfId="318" dataDxfId="317">
  <tableColumns count="6">
    <tableColumn id="11" xr3:uid="{7BDE2C8E-C334-46AE-961C-E2C152088C0D}" name="Site name" dataDxfId="316"/>
    <tableColumn id="8" xr3:uid="{1EA0E71C-5675-4CC4-9E18-4F409D1B0D78}" name="Abiotic indicator" dataDxfId="315"/>
    <tableColumn id="7" xr3:uid="{E289C6DC-529A-40ED-8B89-4B9F3D76A606}" name="EQS sampling zone" dataDxfId="314"/>
    <tableColumn id="3" xr3:uid="{06731E0B-5430-4493-B341-8EF49E84B917}" name="Avg. indicator value" dataDxfId="313">
      <calculatedColumnFormula>AVERAGE(#REF!)</calculatedColumnFormula>
    </tableColumn>
    <tableColumn id="5" xr3:uid="{0DE69F8B-B73E-428F-B369-893803ED8214}" name="EQS category" dataDxfId="312" totalsRowDxfId="311">
      <calculatedColumnFormula array="1">IFERROR(INDEX(Table517276[EQS category ref], MATCH(1, (Table4771[[#This Row],[Abiotic indicator]]=Table517276[Abiotic index ref])*(Table4771[[#This Row],[Avg. indicator value]]&gt;=Table517276[Equal or larger than])*(Table4771[[#This Row],[Avg. indicator value]]&lt;Table517276[smaller than]),0)),"")</calculatedColumnFormula>
    </tableColumn>
    <tableColumn id="1" xr3:uid="{82DF8C20-08B2-48C6-AADC-C3E1769B14D6}" name="Indicator EQS score" dataDxfId="310">
      <calculatedColumnFormula array="1">IFERROR(_xlfn.IFS(Table4771[[#This Row],[EQS category]]="Bad",5, Table4771[[#This Row],[EQS category]]="Poor",4, Table4771[[#This Row],[EQS category]]="Moderate",3, Table4771[[#This Row],[EQS category]]="Good",2, Table4771[[#This Row],[EQS category]]="High",1),"")</calculatedColumnFormula>
    </tableColumn>
  </tableColumns>
  <tableStyleInfo name="TableStyleMedium13"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2" xr:uid="{AD42399C-6C24-49C0-8924-1935E67F258D}" name="Table484573" displayName="Table484573" ref="C62:F65" totalsRowShown="0" dataDxfId="309">
  <tableColumns count="4">
    <tableColumn id="1" xr3:uid="{BD49E0E6-BC77-425E-8A65-27EB33ECE612}" name="Site name " dataDxfId="308">
      <calculatedColumnFormula>#REF!</calculatedColumnFormula>
    </tableColumn>
    <tableColumn id="2" xr3:uid="{91754EFB-4818-433F-85B8-5F94D6709FE6}" name="EQS sampling zone" dataDxfId="307"/>
    <tableColumn id="3" xr3:uid="{4A37C2F9-ED7B-4310-8038-A2238CC6EFBD}" name="Zone EQS score" dataDxfId="306">
      <calculatedColumnFormula array="1">_xlfn.IFS(D53= "Total Free Sulphide (S2-UV μM)", (H53*0.75+H54*0.25), D53="Total Free Sulphide (S2-ISE μM)", (H53+H54)/2)</calculatedColumnFormula>
    </tableColumn>
    <tableColumn id="4" xr3:uid="{245B3FF1-ADE2-4E50-857C-DD1C89EFEE85}" name="Zone EQS category" dataDxfId="305">
      <calculatedColumnFormula array="1">IFERROR(INDEX(Table2015[EQS category ref], MATCH(1,(Table484573[[#This Row],[Zone EQS score]]&gt;Table2015[Larger than])*(Table484573[[#This Row],[Zone EQS score]]&lt;=Table2015[Equal or smaller than]),0)),"")</calculatedColumnFormula>
    </tableColumn>
  </tableColumns>
  <tableStyleInfo name="TableStyleMedium13"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3" xr:uid="{A4644C3F-6B53-4E46-883F-82B1CAAA55D5}" name="Table58444774" displayName="Table58444774" ref="C69:D70" totalsRowShown="0" headerRowDxfId="304" dataDxfId="303">
  <tableColumns count="2">
    <tableColumn id="1" xr3:uid="{AA50D28A-A1D0-467A-A2B7-5F678CCD213F}" name="Site name" dataDxfId="302">
      <calculatedColumnFormula>C63</calculatedColumnFormula>
    </tableColumn>
    <tableColumn id="3" xr3:uid="{54A4074F-6F91-4ED7-994B-44E9C48839BE}" name="Benthic status - Level 1 and 2" dataDxfId="301">
      <calculatedColumnFormula array="1">IFERROR(INDEX(Table76[Benthic status], MATCH(1, (F63=Table76[Inside site boundary])*(F64=Table76[Outside site boundary])*(F65=Table76[Outside site boundary]), 0)),"")</calculatedColumnFormula>
    </tableColumn>
  </tableColumns>
  <tableStyleInfo name="TableStyleMedium13"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5" xr:uid="{ADBD5B71-5BED-4FE0-A3E7-B36118103193}" name="Table517276" displayName="Table517276" ref="AA4:AE19" totalsRowShown="0" headerRowDxfId="300" dataDxfId="298" headerRowBorderDxfId="299" tableBorderDxfId="297">
  <autoFilter ref="AA4:AE19" xr:uid="{ADBD5B71-5BED-4FE0-A3E7-B36118103193}"/>
  <tableColumns count="5">
    <tableColumn id="1" xr3:uid="{AA7CA9CD-BE8B-4FE6-A665-604936496C50}" name="Abiotic index ref" dataDxfId="296"/>
    <tableColumn id="2" xr3:uid="{FF635AC7-ED2E-43E3-8D54-E59FE96CDA39}" name="Equal or larger than" dataDxfId="295"/>
    <tableColumn id="3" xr3:uid="{079350BF-59EF-4686-AE89-654C04C1AB9D}" name="smaller than" dataDxfId="294"/>
    <tableColumn id="4" xr3:uid="{DF617F6B-3923-4A31-A624-5D627DFAAA77}" name="EQS category ref" dataDxfId="293"/>
    <tableColumn id="5" xr3:uid="{5C6F1F11-B71E-4F28-8715-D53343C95E7B}" name="Notes" dataDxfId="292"/>
  </tableColumns>
  <tableStyleInfo name="TableStyleMedium13"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6" xr:uid="{90F3BE59-4E87-4681-A100-3D7CA5BFD7A2}" name="Table76" displayName="Table76" ref="AG4:AI29" totalsRowShown="0" headerRowDxfId="291" dataDxfId="289" headerRowBorderDxfId="290" tableBorderDxfId="288" totalsRowBorderDxfId="287">
  <autoFilter ref="AG4:AI29" xr:uid="{90F3BE59-4E87-4681-A100-3D7CA5BFD7A2}"/>
  <tableColumns count="3">
    <tableColumn id="1" xr3:uid="{C5BBE070-7096-45F1-ADFB-DE536DBB123B}" name="Inside site boundary" dataDxfId="286"/>
    <tableColumn id="2" xr3:uid="{7ADCB5B9-F2F3-4777-A328-EF1C2ADF55A7}" name="Outside site boundary" dataDxfId="285"/>
    <tableColumn id="3" xr3:uid="{B14674C4-D4DE-40CC-9F0D-790573D66407}" name="Benthic status" dataDxfId="284"/>
  </tableColumns>
  <tableStyleInfo name="TableStyleMedium2"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5C0615CD-0769-47F7-91B1-10EBEE535AFE}" name="Table2015" displayName="Table2015" ref="AA23:AE28" totalsRowShown="0" headerRowDxfId="283">
  <autoFilter ref="AA23:AE28" xr:uid="{5C0615CD-0769-47F7-91B1-10EBEE535AFE}"/>
  <tableColumns count="5">
    <tableColumn id="1" xr3:uid="{9B570EAE-976B-4584-8F2D-5B03B668845F}" name="EQS category ref" dataDxfId="282"/>
    <tableColumn id="2" xr3:uid="{A24EE723-A6F3-4B4D-B80E-E49485C772CA}" name="Larger than" dataDxfId="281"/>
    <tableColumn id="3" xr3:uid="{66E01759-2AD0-462B-835D-974B2C5BB66A}" name="Equal or smaller than" dataDxfId="280"/>
    <tableColumn id="4" xr3:uid="{66F7698E-66BF-4832-8DC9-E2FEDF5E75A9}" name="Zone EQS score per indicator" dataDxfId="279"/>
    <tableColumn id="5" xr3:uid="{671090D9-3041-49E0-A2E4-302E10D1ACFA}" name="Notes" dataDxfId="278"/>
  </tableColumns>
  <tableStyleInfo name="TableStyleMedium13"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0" xr:uid="{64DD3BE0-92E8-44A8-B496-7C42AF5F801C}" name="Table5691" displayName="Table5691" ref="C68:H77" totalsRowShown="0" headerRowDxfId="277" dataDxfId="276">
  <tableColumns count="6">
    <tableColumn id="3" xr3:uid="{D6E96131-81C9-46A8-BB28-29758016F18C}" name="Site name" dataDxfId="275" totalsRowDxfId="274">
      <calculatedColumnFormula>Table194[[#This Row],[Site name]]</calculatedColumnFormula>
    </tableColumn>
    <tableColumn id="8" xr3:uid="{442A9E0D-9B05-4360-B2D3-B38D996BA0E9}" name="Abiotic indicator" dataDxfId="273" totalsRowDxfId="272">
      <calculatedColumnFormula>Table194[[#This Row],[Biotic indicator (select)]]</calculatedColumnFormula>
    </tableColumn>
    <tableColumn id="6" xr3:uid="{0FBA8D72-556C-41C1-97B0-BA0529332E96}" name="EQS sampling zone" dataDxfId="271">
      <calculatedColumnFormula>Table194[[#This Row],[EQS sampling zone]]</calculatedColumnFormula>
    </tableColumn>
    <tableColumn id="1" xr3:uid="{AD8CBEE7-6BBB-46B0-B167-8256447D1BD4}" name="Avg. indicator value" dataDxfId="270"/>
    <tableColumn id="2" xr3:uid="{5C0AFB6D-347B-4B8E-A07C-4DB6890570C0}" name="EQS category" dataDxfId="269">
      <calculatedColumnFormula array="1">IFERROR(INDEX(Table995[EQS category ref], MATCH(1, (Table5691[[#This Row],[Abiotic indicator]]=Table995[Biotic index ref])*(F69&gt;=Table995[Equal or larger than])*(F69&lt;Table995[smaller than]),0)),"")</calculatedColumnFormula>
    </tableColumn>
    <tableColumn id="4" xr3:uid="{84A49FF6-3032-4332-B703-8D91CE012CDD}" name="Indicator EQS score" dataDxfId="268">
      <calculatedColumnFormula array="1">IFERROR(_xlfn.IFS(Table5691[[#This Row],[EQS category]]="Bad",5, Table5691[[#This Row],[EQS category]]="Poor",4, Table5691[[#This Row],[EQS category]]="Moderate",3, Table5691[[#This Row],[EQS category]]="Good",2, Table5691[[#This Row],[EQS category]]="High",1),"")</calculatedColumnFormula>
    </tableColumn>
  </tableColumns>
  <tableStyleInfo name="TableStyleMedium13"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1" xr:uid="{5AF33979-EFC7-4659-BDA4-7A2B29BE0A2D}" name="Table5792" displayName="Table5792" ref="C81:F84" totalsRowShown="0" headerRowDxfId="267" dataDxfId="266">
  <tableColumns count="4">
    <tableColumn id="1" xr3:uid="{08168835-8584-498C-B2BC-0692E29D0BBD}" name="Site name " dataDxfId="265">
      <calculatedColumnFormula>C69</calculatedColumnFormula>
    </tableColumn>
    <tableColumn id="3" xr3:uid="{CEBE8A76-594B-4393-8617-8AFDB26D3A69}" name="EQS sampling zone" dataDxfId="264">
      <calculatedColumnFormula>Table56[[#This Row],[EQS sampling zone]]</calculatedColumnFormula>
    </tableColumn>
    <tableColumn id="2" xr3:uid="{8A9EA8CC-9860-4266-ACBE-14F1FD2AEF29}" name="Zone EQS score" dataDxfId="263">
      <calculatedColumnFormula>(H69+H70+H71)/3</calculatedColumnFormula>
    </tableColumn>
    <tableColumn id="4" xr3:uid="{51B33A97-53B3-4B5D-A262-5545714B4EEF}" name="Zone EQS category" dataDxfId="262">
      <calculatedColumnFormula array="1">IFERROR(INDEX(Table201518[EQS category ref], MATCH(1,(Table5792[[#This Row],[Zone EQS score]]&gt;Table201518[Larger than])*(Table5792[[#This Row],[Zone EQS score]]&lt;=Table201518[Equal or smaller than]),0)),"")</calculatedColumnFormula>
    </tableColumn>
  </tableColumns>
  <tableStyleInfo name="TableStyleMedium13"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2" xr:uid="{307EBBA8-89EF-4E7F-B6FE-3E5CF4D6BD30}" name="Table5893" displayName="Table5893" ref="C88:D89" totalsRowShown="0" headerRowDxfId="261" dataDxfId="260">
  <tableColumns count="2">
    <tableColumn id="1" xr3:uid="{2464A2B3-5014-4E51-A8C8-8FDF47DC5DCE}" name="Site name" dataDxfId="259">
      <calculatedColumnFormula>C82</calculatedColumnFormula>
    </tableColumn>
    <tableColumn id="3" xr3:uid="{AB614285-CA99-45E0-AB41-6341BD9B065E}" name="Benthic status - Tier 3" dataDxfId="258">
      <calculatedColumnFormula array="1">IFERROR(INDEX(Table769097[Benthic status], MATCH(1, (F82=Table769097[Inside site boundary])*(F83=Table769097[Outside site boundary])*(F84=Table769097[Outside site boundary]), 0)),"")</calculatedColumnFormula>
    </tableColumn>
  </tableColumns>
  <tableStyleInfo name="TableStyleMedium13"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C696D5FC-3FCB-4470-B44E-BA4BAF34832D}" name="Table19" displayName="Table19" ref="J4:M9" totalsRowShown="0" headerRowDxfId="465" dataDxfId="464">
  <autoFilter ref="J4:M9" xr:uid="{C696D5FC-3FCB-4470-B44E-BA4BAF34832D}">
    <filterColumn colId="0" hiddenButton="1"/>
    <filterColumn colId="1" hiddenButton="1"/>
    <filterColumn colId="2" hiddenButton="1"/>
    <filterColumn colId="3" hiddenButton="1"/>
  </autoFilter>
  <tableColumns count="4">
    <tableColumn id="1" xr3:uid="{6B15CD93-FC5D-47E5-82A6-097FD6FFBA5D}" name="Species in production" dataDxfId="463">
      <calculatedColumnFormula>'Dropdown tables - Production'!G3</calculatedColumnFormula>
    </tableColumn>
    <tableColumn id="2" xr3:uid="{1E54ADC4-1ADB-435D-AD50-A7318D55A850}" name="Stocking count _x000a_(# animals)" dataDxfId="462">
      <calculatedColumnFormula>IF(IF(J5=0, "", SUMIFS(Table126[Stocking count 
('# animals)],Table126[Species in production (Latin name) (select)],Table19[[#This Row],[Species in production]]))=0, "0",IF(J5=0, "", SUMIFS(Table126[Stocking count 
('# animals)],Table126[Species in production (Latin name) (select)],Table19[[#This Row],[Species in production]])))</calculatedColumnFormula>
    </tableColumn>
    <tableColumn id="3" xr3:uid="{C61A68BA-0911-490B-91B6-217235255917}" name="Known escapes (# animals)" dataDxfId="461">
      <calculatedColumnFormula>IF(IF(J5=0, "", SUMIFS(Table2[Number of escapees ('# animals)],Table2[Species in production (latin name) (select)],Table19[[#This Row],[Species in production]]))=0, "0",IF(J5=0, "", SUMIFS(Table2[Number of escapees ('# animals)],Table2[Species in production (latin name) (select)],Table19[[#This Row],[Species in production]])))</calculatedColumnFormula>
    </tableColumn>
    <tableColumn id="4" xr3:uid="{8A84A72D-8011-4BA4-8997-8DD9FAD0BAEA}" name="Known escapes (%)" dataDxfId="460">
      <calculatedColumnFormula>IFERROR(IF(J5= 0, "", ((Table19[[#This Row],[Known escapes ('# animals)]]/((Table19[[#This Row],[Stocking count 
('# animals)]])))*100)),"0")</calculatedColumnFormula>
    </tableColumn>
  </tableColumns>
  <tableStyleInfo name="TableStyleMedium2"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3" xr:uid="{ED97FA62-49FD-41D6-B3C3-E32DCA097DEA}" name="Table194" displayName="Table194" ref="C4:K64" totalsRowShown="0" headerRowDxfId="257" dataDxfId="256">
  <tableColumns count="9">
    <tableColumn id="1" xr3:uid="{17C0D6F7-A8EE-46FB-860D-76D32FB9FF48}" name="Site name" dataDxfId="255"/>
    <tableColumn id="2" xr3:uid="{1FC1B517-EE91-481B-839E-ADECCAAD00B3}" name="Sampling date (dd-mm-yyyy)" dataDxfId="254"/>
    <tableColumn id="6" xr3:uid="{88AFE3A6-7243-447B-912C-8B4E61631267}" name="Biotic indicator (select)" dataDxfId="253"/>
    <tableColumn id="5" xr3:uid="{83A873A8-D830-4360-958F-4028C58AE66C}" name="Direction compared to water flow" dataDxfId="252"/>
    <tableColumn id="3" xr3:uid="{550A394D-6835-4D71-9FB6-4A59EA4F1B75}" name="EQS sampling zone" dataDxfId="251"/>
    <tableColumn id="4" xr3:uid="{EF24735A-BC86-4387-BC92-E1800226306C}" name="Distance from site boundary (m)" dataDxfId="250"/>
    <tableColumn id="7" xr3:uid="{BD586861-F3FD-4B87-95A4-5943B98F9AB2}" name="Avg. value - sample 1" dataDxfId="249"/>
    <tableColumn id="9" xr3:uid="{176302E3-4E0F-4642-A4A4-BD4724558437}" name="Avg. value - sample 2" dataDxfId="248"/>
    <tableColumn id="10" xr3:uid="{2138062F-448C-4B67-B10C-A983600F4A56}" name="Notes" dataDxfId="247"/>
  </tableColumns>
  <tableStyleInfo name="TableStyleMedium13"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4" xr:uid="{29DD289A-46A9-4C42-A137-296335CB649B}" name="Table995" displayName="Table995" ref="AA4:AE74" totalsRowShown="0" headerRowDxfId="246" dataDxfId="245">
  <tableColumns count="5">
    <tableColumn id="1" xr3:uid="{3484D3E6-ED3C-48E9-9BF6-C9F28A1EFC51}" name="Biotic index ref" dataDxfId="244"/>
    <tableColumn id="2" xr3:uid="{CC34A628-0255-4143-B8C8-22F001D7B46F}" name="Equal or larger than" dataDxfId="243"/>
    <tableColumn id="5" xr3:uid="{3B631D7D-D776-4CD3-9A09-FD84A2514B0F}" name="smaller than" dataDxfId="242"/>
    <tableColumn id="3" xr3:uid="{1B7D522B-96EE-4494-9A06-5E2C5E72D5DD}" name="EQS category ref" dataDxfId="241"/>
    <tableColumn id="4" xr3:uid="{A64DF6AE-1B0E-47A7-B22C-169A43425182}" name="Notes" dataDxfId="240"/>
  </tableColumns>
  <tableStyleInfo name="TableStyleMedium13"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6" xr:uid="{9578B65A-8CD5-48E9-8BEC-3FA1D51ED1B7}" name="Table769097" displayName="Table769097" ref="AH4:AJ29" totalsRowShown="0" headerRowDxfId="239" dataDxfId="237" headerRowBorderDxfId="238" tableBorderDxfId="236" totalsRowBorderDxfId="235">
  <autoFilter ref="AH4:AJ29" xr:uid="{9578B65A-8CD5-48E9-8BEC-3FA1D51ED1B7}"/>
  <tableColumns count="3">
    <tableColumn id="1" xr3:uid="{CA18B56F-4260-4145-80C5-CD61838F4E08}" name="Inside site boundary" dataDxfId="234"/>
    <tableColumn id="2" xr3:uid="{25FA669E-4F3E-459E-BEE7-8E910C442061}" name="Outside site boundary" dataDxfId="233"/>
    <tableColumn id="3" xr3:uid="{3845C62D-F999-48CC-BF49-634909A5F028}" name="Benthic status" dataDxfId="232"/>
  </tableColumns>
  <tableStyleInfo name="TableStyleMedium2"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82C44049-8BB5-4FAA-AA2E-3A4DA64AF4EC}" name="Table201518" displayName="Table201518" ref="AA78:AE83" totalsRowShown="0" headerRowDxfId="231" dataDxfId="230">
  <autoFilter ref="AA78:AE83" xr:uid="{82C44049-8BB5-4FAA-AA2E-3A4DA64AF4EC}"/>
  <tableColumns count="5">
    <tableColumn id="1" xr3:uid="{19F202BC-8010-4CE2-A968-09F08A24C0C5}" name="EQS category ref" dataDxfId="229"/>
    <tableColumn id="2" xr3:uid="{88C57295-6CD2-40F9-81EC-33FA2B7821FF}" name="Larger than" dataDxfId="228"/>
    <tableColumn id="3" xr3:uid="{96259E4A-62AD-47AF-8F0D-737958E433EC}" name="Equal or smaller than" dataDxfId="227"/>
    <tableColumn id="4" xr3:uid="{B21F80EF-9457-48B0-AB50-94E725A05588}" name="Zone EQS score per indicator" dataDxfId="226"/>
    <tableColumn id="5" xr3:uid="{665F4C4D-88FB-4870-8F94-E31F8C734322}" name="Notes" dataDxfId="225"/>
  </tableColumns>
  <tableStyleInfo name="TableStyleMedium13"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C871A79C-057B-4882-9D7C-5FE477CADF51}" name="Table4845" displayName="Table4845" ref="C76:F79" totalsRowShown="0" headerRowDxfId="224" dataDxfId="223">
  <tableColumns count="4">
    <tableColumn id="1" xr3:uid="{48BE62C6-7124-4CAF-829A-552444E1B733}" name="Site name " dataDxfId="222">
      <calculatedColumnFormula>C5</calculatedColumnFormula>
    </tableColumn>
    <tableColumn id="2" xr3:uid="{FBB4F59E-59B5-416D-BC9D-DA79131C3042}" name="EQS sampling zone" dataDxfId="221"/>
    <tableColumn id="3" xr3:uid="{224C6579-04CD-4C02-9E30-2116F03E599E}" name="Zone EQS score" dataDxfId="220">
      <calculatedColumnFormula>(Table16[[#This Row],[Indicator EQS score]]+I62)/2</calculatedColumnFormula>
    </tableColumn>
    <tableColumn id="4" xr3:uid="{7BB464EA-8EA9-4667-9075-0272E0988D7F}" name="Zone EQS category" dataDxfId="219">
      <calculatedColumnFormula array="1">IFERROR( INDEX(Table2022[EQS category ref], MATCH(1,(Table4845[[#This Row],[Zone EQS score]]&gt;Table2022[Larger than])*(Table4845[[#This Row],[Zone EQS score]]&lt;=Table2022[Equal or smaller than]),0)), "")</calculatedColumnFormula>
    </tableColumn>
  </tableColumns>
  <tableStyleInfo name="TableStyleMedium13"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FFC6E59E-F695-42F1-A262-E2461D1521CD}" name="Table584447" displayName="Table584447" ref="C83:D84" totalsRowShown="0" headerRowDxfId="218" dataDxfId="217">
  <tableColumns count="2">
    <tableColumn id="1" xr3:uid="{F1784371-4D37-431E-85AB-E7D0AFBC4E8D}" name="Site name" dataDxfId="216">
      <calculatedColumnFormula>C77</calculatedColumnFormula>
    </tableColumn>
    <tableColumn id="3" xr3:uid="{0910329A-14F1-4E5B-8CB6-AE4867712FDC}" name="Benthic status - Level 1 and 2" dataDxfId="215">
      <calculatedColumnFormula array="1">IFERROR(INDEX(Table4046[Benthic status], MATCH(1, (F79=Table22[[Reference zone ]])*(F77=Table22[Sampling zone 1])*(F78=Table22[Sampling zone 2]), 0)), "")</calculatedColumnFormula>
    </tableColumn>
  </tableColumns>
  <tableStyleInfo name="TableStyleMedium13"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62366FBF-CDA2-49C6-896C-A0FE097FB59B}" name="Table12" displayName="Table12" ref="C4:K16" totalsRowShown="0" headerRowDxfId="214" dataDxfId="213">
  <tableColumns count="9">
    <tableColumn id="1" xr3:uid="{9BFFBB9E-8E54-4B8C-8ECD-B6933AF1D5DF}" name="Site name" dataDxfId="212"/>
    <tableColumn id="2" xr3:uid="{C27D6207-F4E9-4966-B6A4-855AA62D8E73}" name="Sampling date (dd-mm-yyyy)" dataDxfId="211"/>
    <tableColumn id="3" xr3:uid="{35FCE28E-E477-47B1-BAE9-593C36F49215}" name="Abiotic indicator" dataDxfId="210"/>
    <tableColumn id="4" xr3:uid="{287C09DD-5555-46CB-9916-4028F72CB3E4}" name="Direction compared to water flow" dataDxfId="209"/>
    <tableColumn id="5" xr3:uid="{4A5B397E-0085-416C-BFA2-6D770DE9CF6D}" name="EQS sampling zone" dataDxfId="208"/>
    <tableColumn id="6" xr3:uid="{850D20BE-8DD8-4239-BCB9-50E0ABA3F6F8}" name="Distance from edge of cages (m)" dataDxfId="207"/>
    <tableColumn id="7" xr3:uid="{278F18A4-9A55-4DA0-9B90-4CDE660E0E06}" name="Avg. value - sample 1" dataDxfId="206"/>
    <tableColumn id="8" xr3:uid="{39C158D9-1AF2-4B88-A1E2-B9BC8C49401F}" name="Avg. value - sample 2" dataDxfId="205"/>
    <tableColumn id="9" xr3:uid="{ED5D2EEF-AD24-47D6-9096-61A0F0AF8734}" name="Notes" dataDxfId="204"/>
  </tableColumns>
  <tableStyleInfo name="TableStyleMedium13"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CEF95AEC-DC0A-42E3-B988-B5D27AA8D2CD}" name="Table13" displayName="Table13" ref="C20:K56" totalsRowShown="0" headerRowDxfId="203" dataDxfId="202">
  <tableColumns count="9">
    <tableColumn id="1" xr3:uid="{6C6D42D8-3770-449B-903F-6D5DCBA3121B}" name="Site name" dataDxfId="201"/>
    <tableColumn id="2" xr3:uid="{677AA187-8855-4E33-B9F4-7D58FD078143}" name="Sampling date (dd-mm-yyyy)" dataDxfId="200"/>
    <tableColumn id="3" xr3:uid="{708C2752-E2A6-4383-8460-37F7F15FAA78}" name="Abiotic indicator" dataDxfId="199"/>
    <tableColumn id="4" xr3:uid="{AD48BECA-0C3D-4286-B044-885E893A826A}" name="Direction compared to water flow" dataDxfId="198"/>
    <tableColumn id="5" xr3:uid="{C0A63796-D97C-4EFC-9918-D5AE8DF02FAD}" name="EQS sampling zone" dataDxfId="197"/>
    <tableColumn id="6" xr3:uid="{479DE1E8-9880-4CF1-8876-8570ADF4A2DD}" name="Distance from edge of cages (m)" dataDxfId="196"/>
    <tableColumn id="7" xr3:uid="{8D8B6AF1-8243-477D-AB85-6033D4F35173}" name="Avg. value - sample 1" dataDxfId="195"/>
    <tableColumn id="8" xr3:uid="{9A6D5451-D441-4B8F-A501-26ADFB1ECF1E}" name="Avg. value - sample 2" dataDxfId="194"/>
    <tableColumn id="9" xr3:uid="{E037B9BA-81C7-4477-90F9-E676D37F4784}" name="Notes" dataDxfId="193"/>
  </tableColumns>
  <tableStyleInfo name="TableStyleMedium13"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34F93C4D-7099-4424-B69D-C00A5C363F42}" name="Table16" displayName="Table16" ref="C60:I72" totalsRowShown="0" headerRowDxfId="192" dataDxfId="191">
  <tableColumns count="7">
    <tableColumn id="1" xr3:uid="{87C991FD-F6D9-4EBE-B3CB-CFD959212C44}" name="Site name" dataDxfId="190"/>
    <tableColumn id="2" xr3:uid="{9F02BB14-DD97-499E-8B32-DCB06E933DAE}" name="Abiotic indicator" dataDxfId="189"/>
    <tableColumn id="3" xr3:uid="{4E49E873-E3CB-4C93-BCE1-22435CCA4134}" name="EQS sampling zone" dataDxfId="188"/>
    <tableColumn id="4" xr3:uid="{5474F939-63A5-4403-9E0D-27AC3924F02B}" name="Avg. indicator value" dataDxfId="187"/>
    <tableColumn id="7" xr3:uid="{D73D2521-65AD-4BBF-B608-FD9C825B2D13}" name="TAN threshold (mg/L)" dataDxfId="186"/>
    <tableColumn id="5" xr3:uid="{4E84A0BE-4C39-4CBE-833C-5F13A9575A91}" name="EQS category" dataDxfId="185">
      <calculatedColumnFormula array="1" xml:space="preserve"> INDEX('Benthic - L&amp;R Level 1 &amp; 2'!$AF$5:$AF$28, MATCH(1, ('Benthic - L&amp;R Level 1 &amp; 2'!$D61='Benthic - L&amp;R Level 1 &amp; 2'!$AC$5:$AC$28)*('Benthic - L&amp;R Level 1 &amp; 2'!$F61&gt;='Benthic - L&amp;R Level 1 &amp; 2'!$AD$5:$AD$28)*('Benthic - L&amp;R Level 1 &amp; 2'!$F61&lt;'Benthic - L&amp;R Level 1 &amp; 2'!$AE$5:$AE$28),0))</calculatedColumnFormula>
    </tableColumn>
    <tableColumn id="6" xr3:uid="{B6FC529E-F347-4510-BBBF-5E99A81F9242}" name="Indicator EQS score" dataDxfId="184">
      <calculatedColumnFormula array="1">_xlfn.IFS(Table16[[#This Row],[EQS category]]="Bad",5,Table16[[#This Row],[EQS category]]="Poor/Bad",5, Table16[[#This Row],[EQS category]]="Poor",4, Table16[[#This Row],[EQS category]]="Moderate",3, Table16[[#This Row],[EQS category]]="Good",2,Table16[[#This Row],[EQS category]]="Good/High",1, Table16[[#This Row],[EQS category]]="High",1)</calculatedColumnFormula>
    </tableColumn>
  </tableColumns>
  <tableStyleInfo name="TableStyleMedium13"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36A66047-32BD-4657-97E9-C7530899D417}" name="Table2022" displayName="Table2022" ref="AC40:AG45" totalsRowShown="0" headerRowDxfId="183" dataDxfId="182">
  <autoFilter ref="AC40:AG45" xr:uid="{36A66047-32BD-4657-97E9-C7530899D417}"/>
  <tableColumns count="5">
    <tableColumn id="1" xr3:uid="{A84E02D4-1A93-4F39-9884-6D6A9D3D35FC}" name="EQS category ref" dataDxfId="181"/>
    <tableColumn id="2" xr3:uid="{18A74D09-0A22-49E5-AA25-5D31AF203EC5}" name="Larger than" dataDxfId="180"/>
    <tableColumn id="3" xr3:uid="{7AB27C04-E25F-4F9D-942F-7668332E4B41}" name="Equal or smaller than" dataDxfId="179"/>
    <tableColumn id="4" xr3:uid="{EE82BD8B-414F-4799-A7CA-D8EE8A853511}" name="Zone EQS score per indicator" dataDxfId="178"/>
    <tableColumn id="5" xr3:uid="{313FED1E-399B-4522-8F00-6316238ABEEE}" name="Notes" dataDxfId="177"/>
  </tableColumns>
  <tableStyleInfo name="TableStyleMedium13"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1EFE553B-E9B8-46EA-A7F8-5C7EE42393D0}" name="Table37" displayName="Table37" ref="C4:K12" totalsRowShown="0" headerRowDxfId="459" dataDxfId="458">
  <tableColumns count="9">
    <tableColumn id="1" xr3:uid="{7ED26C2C-1285-4CAC-9514-0DB1B7A1EE32}" name="Site name" dataDxfId="457"/>
    <tableColumn id="2" xr3:uid="{B323AA11-5C29-4706-A09C-044A50DD14F5}" name="Sampling date (dd-mm-yyyy)" dataDxfId="456"/>
    <tableColumn id="10" xr3:uid="{7CFE17EA-7E6E-48DB-9A6C-209A5760B72C}" name="Abiotic indicator (select)" dataDxfId="455"/>
    <tableColumn id="5" xr3:uid="{B3018058-80BE-4999-83BD-DC798BDDA55D}" name="Direction compared to water flow" dataDxfId="454"/>
    <tableColumn id="3" xr3:uid="{F136074F-BAB2-4E91-8401-CAE3D1DC8184}" name="EQS sampling zone" dataDxfId="453"/>
    <tableColumn id="4" xr3:uid="{D505A6D4-4654-4DE9-996E-0697EB463F9D}" name="Distance from edge of cages (m)" dataDxfId="452"/>
    <tableColumn id="6" xr3:uid="{EBD5921A-E25C-4EC6-ABA9-343CD01ABC31}" name="Avg. value - sample 1" dataDxfId="451"/>
    <tableColumn id="7" xr3:uid="{2072617C-888C-41AA-9D62-CB7D06009DFE}" name="Avg. value - sample 2" dataDxfId="450"/>
    <tableColumn id="9" xr3:uid="{3693E89F-1747-42E2-AB9B-27CA2E824696}" name="Notes" dataDxfId="449"/>
  </tableColumns>
  <tableStyleInfo name="TableStyleMedium13"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32CDD2BB-C202-4861-81BA-A9E201C1B491}" name="Table18" displayName="Table18" ref="AC4:AH28" totalsRowShown="0" headerRowDxfId="176" dataDxfId="175" tableBorderDxfId="174">
  <autoFilter ref="AC4:AH28" xr:uid="{32CDD2BB-C202-4861-81BA-A9E201C1B491}"/>
  <tableColumns count="6">
    <tableColumn id="1" xr3:uid="{2A5646CB-2A74-43F8-9207-592281C5D3C9}" name="Abiotic index ref" dataDxfId="173"/>
    <tableColumn id="2" xr3:uid="{256C0896-4027-4990-A83C-0055562BDB7E}" name="EQS sampling zone" dataDxfId="172"/>
    <tableColumn id="3" xr3:uid="{4388F79D-CE37-4998-8441-98CAA999263B}" name="Equal or larger than" dataDxfId="171"/>
    <tableColumn id="4" xr3:uid="{6F1A2F21-C6F1-49C5-9502-A5184BFF3460}" name="smaller than" dataDxfId="170"/>
    <tableColumn id="5" xr3:uid="{7E3420BD-227E-456D-A3EF-B8CA8CE5929B}" name="EQS category ref" dataDxfId="169"/>
    <tableColumn id="6" xr3:uid="{B62BD480-A9AF-43D1-A913-92EFC7DD8655}" name="Notes" dataDxfId="168"/>
  </tableColumns>
  <tableStyleInfo name="TableStyleMedium13"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B627F175-8E4D-4B66-87E4-1923553B48F6}" name="Table22" displayName="Table22" ref="AK4:AN129" totalsRowShown="0" headerRowDxfId="167" dataDxfId="166">
  <autoFilter ref="AK4:AN129" xr:uid="{B627F175-8E4D-4B66-87E4-1923553B48F6}"/>
  <tableColumns count="4">
    <tableColumn id="1" xr3:uid="{85623516-7B74-4CA2-BB56-2D7F96797823}" name="Reference zone " dataDxfId="165"/>
    <tableColumn id="2" xr3:uid="{42630834-D712-4796-AF18-A32A85A1FF6E}" name="Sampling zone 1" dataDxfId="164"/>
    <tableColumn id="3" xr3:uid="{B6C833EF-B8F9-440B-9948-0ABD987CC0BD}" name="Sampling zone 2" dataDxfId="163"/>
    <tableColumn id="4" xr3:uid="{FC919BF0-9C64-4E36-A01F-8FCE70720CCD}" name="Benthic status" dataDxfId="162"/>
  </tableColumns>
  <tableStyleInfo name="TableStyleMedium2"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781458CE-FBFD-4E11-BEBE-60BA3BFB423F}" name="Table28" displayName="Table28" ref="AC31:AI34" totalsRowShown="0" headerRowDxfId="161" dataDxfId="160">
  <autoFilter ref="AC31:AI34" xr:uid="{781458CE-FBFD-4E11-BEBE-60BA3BFB423F}"/>
  <tableColumns count="7">
    <tableColumn id="1" xr3:uid="{B16B1F57-1EAA-455F-A8D6-59DF9F0A7EE0}" name="Abiotic index ref" dataDxfId="159"/>
    <tableColumn id="2" xr3:uid="{7AF313E0-342A-49D9-83DE-CE483EFD73D5}" name="EQS sampling zone" dataDxfId="158"/>
    <tableColumn id="3" xr3:uid="{867DC50E-C39E-4CD7-8154-342C545B2612}" name="TAB threshold" dataDxfId="157"/>
    <tableColumn id="4" xr3:uid="{A4F12951-7651-4A95-B5B1-2A7A581C2B88}" name="Column2" dataDxfId="156"/>
    <tableColumn id="5" xr3:uid="{AFBA0853-D1DF-46BB-9BA7-9A068E858A4C}" name="Column3" dataDxfId="155"/>
    <tableColumn id="6" xr3:uid="{22C6A73E-2C08-44FD-9D60-4DEDE783011B}" name="Column1" dataDxfId="154"/>
    <tableColumn id="7" xr3:uid="{1546F85F-69FD-443F-AD04-C2E99A7C965C}" name="Notes" dataDxfId="153"/>
  </tableColumns>
  <tableStyleInfo name="TableStyleMedium13"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2" xr:uid="{50908CED-F693-4C4A-8C5A-F16AC12A041C}" name="Table5663" displayName="Table5663" ref="C44:H53" totalsRowShown="0" headerRowDxfId="152" dataDxfId="151">
  <tableColumns count="6">
    <tableColumn id="9" xr3:uid="{EC440E7F-03A7-456D-AC6C-FE0E6421D377}" name="Site name" dataDxfId="150"/>
    <tableColumn id="2" xr3:uid="{90F5A09F-7DE1-4372-92BE-7C45D25DED17}" name="Biotic indicator" dataDxfId="149"/>
    <tableColumn id="3" xr3:uid="{F6EDEC7B-251F-404C-9EF9-6A9FB697685D}" name="EQS sampling zone" dataDxfId="148"/>
    <tableColumn id="5" xr3:uid="{542AB920-295C-4893-8694-578D5DE6B520}" name="Average indicator value" dataDxfId="147">
      <calculatedColumnFormula>AVERAGE(I5:J5)</calculatedColumnFormula>
    </tableColumn>
    <tableColumn id="8" xr3:uid="{6F38E8C7-F9E3-4E22-8F89-067C4C065D59}" name="EQS category" dataDxfId="146">
      <calculatedColumnFormula array="1">IFERROR(INDEX(Table967[EQS category ref], MATCH(1, (Table5663[[#This Row],[Biotic indicator]]=Table967[Biotic index ref])*(Table5663[[#This Row],[Average indicator value]]&gt;=Table967[Equal or larger than])*(Table5663[[#This Row],[Average indicator value]]&lt;Table967[smaller than]),0)),"")</calculatedColumnFormula>
    </tableColumn>
    <tableColumn id="1" xr3:uid="{2EAA01BB-FBBB-44E2-A4D4-C7DB97BFA6C3}" name="Indicator EQS score" dataDxfId="145">
      <calculatedColumnFormula array="1">IFERROR(_xlfn.IFS(Table5663[[#This Row],[EQS category]]="Bad",5, Table5663[[#This Row],[EQS category]]="Poor",4, Table5663[[#This Row],[EQS category]]="Moderate",3, Table5663[[#This Row],[EQS category]]="Good",2, Table5663[[#This Row],[EQS category]]="High",1),"")</calculatedColumnFormula>
    </tableColumn>
  </tableColumns>
  <tableStyleInfo name="TableStyleMedium13"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D842C6E7-E869-4AB4-B37B-E9C9A418966C}" name="Table5764" displayName="Table5764" ref="C57:F60" totalsRowShown="0" headerRowDxfId="144" dataDxfId="143">
  <tableColumns count="4">
    <tableColumn id="1" xr3:uid="{E09A8245-FC5E-46A4-8E5C-E0ACD944D53A}" name="Site name " dataDxfId="142">
      <calculatedColumnFormula>C45</calculatedColumnFormula>
    </tableColumn>
    <tableColumn id="3" xr3:uid="{44E2C59C-0503-464B-84E9-A86B1FF8922F}" name="EQS sampling zone" dataDxfId="141">
      <calculatedColumnFormula>Table5663[[#This Row],[EQS sampling zone]]</calculatedColumnFormula>
    </tableColumn>
    <tableColumn id="4" xr3:uid="{FD9381A6-D32B-4786-9411-85B7792FBDC5}" name="Zone EQS score" dataDxfId="140"/>
    <tableColumn id="2" xr3:uid="{F9C3C2E4-4042-4B38-BBA0-B910CBCE8DB1}" name="Zone EQS category" dataDxfId="139">
      <calculatedColumnFormula array="1">IFERROR(INDEX(Table20151828[EQS category ref], MATCH(1,(Table5764[[#This Row],[Zone EQS score]]&gt;Table20151828[Larger than])*(Table5764[[#This Row],[Zone EQS score]]&lt;=Table20151828[Equal or smaller than]),0)),"")</calculatedColumnFormula>
    </tableColumn>
  </tableColumns>
  <tableStyleInfo name="TableStyleMedium13"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4" xr:uid="{754B504D-781A-4489-A5C3-B8856CF547E1}" name="Table5865" displayName="Table5865" ref="C64:D65" totalsRowShown="0" headerRowDxfId="138" dataDxfId="137">
  <tableColumns count="2">
    <tableColumn id="1" xr3:uid="{147E3D6A-B52A-4F9D-91B9-29F0118797A6}" name="Site name" dataDxfId="136">
      <calculatedColumnFormula>C58</calculatedColumnFormula>
    </tableColumn>
    <tableColumn id="3" xr3:uid="{FD551146-B239-4593-9987-35FB3C214C6C}" name="Benthic status - Level 3" dataDxfId="135">
      <calculatedColumnFormula array="1">IFERROR(INDEX(Table40682627[Benthic status], MATCH(1, (F60=Table40682627[[Reference zone ]])*(F58=Table40682627[Farm monitoring zone 1])*(F59=Table40682627[Farm monitoring zone 2]),0)),"")</calculatedColumnFormula>
    </tableColumn>
  </tableColumns>
  <tableStyleInfo name="TableStyleMedium13"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5" xr:uid="{2AD6CC6A-483F-4DC7-8EA6-9182E5990C3A}" name="Table166" displayName="Table166" ref="C4:K40" totalsRowShown="0" headerRowDxfId="134" dataDxfId="133">
  <tableColumns count="9">
    <tableColumn id="1" xr3:uid="{4321864F-C07C-43D4-B3C2-BF4831DEC716}" name="Site name" dataDxfId="132"/>
    <tableColumn id="2" xr3:uid="{EFE185F1-B58C-4CB5-8C5E-8009067CF398}" name="Sampling date (dd-mm-yyyy)" dataDxfId="131"/>
    <tableColumn id="6" xr3:uid="{B70D16D3-0B18-44F6-B22B-4A27952D1301}" name="Biotic indicator (select)" dataDxfId="130"/>
    <tableColumn id="5" xr3:uid="{D473C220-F529-407E-B630-4706285F11E0}" name="Direction compared to water flow" dataDxfId="129"/>
    <tableColumn id="3" xr3:uid="{7C42E813-FE30-4FF9-86F0-993504982A09}" name="EQS sampling zone" dataDxfId="128"/>
    <tableColumn id="4" xr3:uid="{A052A371-5891-4596-9EA5-453FE8166A68}" name="Distance from edge of cages (m)" dataDxfId="127"/>
    <tableColumn id="7" xr3:uid="{36341142-B6A1-4839-A39B-DF7F4DB4C4B9}" name="Avg. value - sample 1" dataDxfId="126"/>
    <tableColumn id="9" xr3:uid="{329FC103-E3FB-4692-81F2-5B8789D6F368}" name="Avg. value - sample 2" dataDxfId="125"/>
    <tableColumn id="10" xr3:uid="{04641FA8-21F5-41FE-B2FA-42FD56CEFD46}" name="Notes" dataDxfId="124"/>
  </tableColumns>
  <tableStyleInfo name="TableStyleMedium13"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6" xr:uid="{CC855F28-0E4D-49C5-B401-3E4486933969}" name="Table967" displayName="Table967" ref="AB4:AF84" totalsRowShown="0" headerRowDxfId="123" dataDxfId="122">
  <tableColumns count="5">
    <tableColumn id="1" xr3:uid="{289674C1-168B-46CE-8707-73E77B67D670}" name="Biotic index ref" dataDxfId="121"/>
    <tableColumn id="2" xr3:uid="{599F1170-AD6F-4E60-BDB6-B64899E32937}" name="Equal or larger than" dataDxfId="120"/>
    <tableColumn id="5" xr3:uid="{16158353-1F39-4B2E-8D17-304AC3C01392}" name="smaller than" dataDxfId="119"/>
    <tableColumn id="3" xr3:uid="{EF8B63AE-EED0-4118-94CC-01FBDBD5C1B5}" name="EQS category ref" dataDxfId="118"/>
    <tableColumn id="4" xr3:uid="{F0BAADDD-1783-45CF-BEA5-3103BEFC398B}" name="Notes" dataDxfId="117"/>
  </tableColumns>
  <tableStyleInfo name="TableStyleMedium13" showFirstColumn="0"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AAE3692C-36FE-4C18-A5B5-FD46C8FDCBEF}" name="Table40682627" displayName="Table40682627" ref="AH4:AK129" totalsRowShown="0" headerRowDxfId="116" dataDxfId="115">
  <autoFilter ref="AH4:AK129" xr:uid="{AAE3692C-36FE-4C18-A5B5-FD46C8FDCBEF}"/>
  <tableColumns count="4">
    <tableColumn id="1" xr3:uid="{C0523177-A449-403C-836D-0C85CABD1813}" name="Reference zone " dataDxfId="114"/>
    <tableColumn id="2" xr3:uid="{4A2FC011-C4EA-4FF7-9B31-7EA31366D092}" name="Farm monitoring zone 1" dataDxfId="113"/>
    <tableColumn id="3" xr3:uid="{18F9B915-D25B-4268-8FDD-80FDE5304593}" name="Farm monitoring zone 2" dataDxfId="112"/>
    <tableColumn id="5" xr3:uid="{AEC2B96C-4CA5-47CC-8980-7527726AE7F8}" name="Benthic status" dataDxfId="111"/>
  </tableColumns>
  <tableStyleInfo name="TableStyleMedium13" showFirstColumn="0" showLastColumn="0"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BB2B9184-8B8E-40E5-B202-2B0EF86305AD}" name="Table20151828" displayName="Table20151828" ref="AB88:AF93" totalsRowShown="0" headerRowDxfId="110" dataDxfId="109">
  <autoFilter ref="AB88:AF93" xr:uid="{BB2B9184-8B8E-40E5-B202-2B0EF86305AD}"/>
  <tableColumns count="5">
    <tableColumn id="1" xr3:uid="{DA7572FC-6716-429E-ACE7-E3F545423FC3}" name="EQS category ref" dataDxfId="108"/>
    <tableColumn id="2" xr3:uid="{8E57316A-A1DE-4235-8BB4-9C97D8E781B5}" name="Larger than" dataDxfId="107"/>
    <tableColumn id="3" xr3:uid="{9126011E-029E-43EA-B9A5-B411BAB798E1}" name="Equal or smaller than" dataDxfId="106"/>
    <tableColumn id="4" xr3:uid="{9DB722FF-A688-4230-A881-F0A6BA9E59FC}" name="Zone EQS score per indicator" dataDxfId="105"/>
    <tableColumn id="5" xr3:uid="{F8349861-DFEC-451F-BC78-CEFAD1B85DEA}" name="Notes" dataDxfId="104"/>
  </tableColumns>
  <tableStyleInfo name="TableStyleMedium13"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E8DDBCC5-94B2-44D8-988E-E46FE2D75354}" name="Table47" displayName="Table47" ref="C44:H52" totalsRowShown="0" headerRowDxfId="448" dataDxfId="447">
  <tableColumns count="6">
    <tableColumn id="16" xr3:uid="{A2145E64-8FA0-41A4-B9A8-5F5A87166D9F}" name="Site name" dataDxfId="446"/>
    <tableColumn id="14" xr3:uid="{AA0E4348-6478-4FE5-AA1E-560CC51B34A4}" name="Abiotic indicator" dataDxfId="445"/>
    <tableColumn id="7" xr3:uid="{1E363F1F-F469-43EB-8AD5-CA60BDE6DA3D}" name="EQS sampling zone" dataDxfId="444"/>
    <tableColumn id="3" xr3:uid="{74EF5543-4C7A-433B-830D-99FB55FBE755}" name="Avg. indicator value" dataDxfId="443">
      <calculatedColumnFormula>AVERAGE(#REF!)</calculatedColumnFormula>
    </tableColumn>
    <tableColumn id="5" xr3:uid="{900F56B7-1DCA-47E2-85C2-703978D3B3B3}" name="EQS category" dataDxfId="442" totalsRowDxfId="441">
      <calculatedColumnFormula array="1">IFERROR(INDEX(Table5172[EQS category ref], MATCH(1, (Table47[[#This Row],[Abiotic indicator]]=Table5172[Abiotic index ref])*(Table47[[#This Row],[Avg. indicator value]]&gt;=Table5172[Equal or larger than])*(Table47[[#This Row],[Avg. indicator value]]&lt;Table5172[smaller than]),0)), "")</calculatedColumnFormula>
    </tableColumn>
    <tableColumn id="1" xr3:uid="{2AADC618-CA42-48C6-98EC-B6E2BBA99913}" name="Indicator EQS score" dataDxfId="440">
      <calculatedColumnFormula array="1">IFERROR(_xlfn.IFS(Table47[[#This Row],[EQS category]]="Bad",5, Table47[[#This Row],[EQS category]]="Poor",4, Table47[[#This Row],[EQS category]]="Moderate",3, Table47[[#This Row],[EQS category]]="Good",2, Table47[[#This Row],[EQS category]]="High",1), "")</calculatedColumnFormula>
    </tableColumn>
  </tableColumns>
  <tableStyleInfo name="TableStyleMedium13" showFirstColumn="0" showLastColumn="0" showRowStripes="1" showColumnStripes="0"/>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9D1423C4-752B-4FD5-B00A-82F26F129D17}" name="Table6" displayName="Table6" ref="C4:L70" totalsRowShown="0" headerRowDxfId="103" dataDxfId="102">
  <tableColumns count="10">
    <tableColumn id="1" xr3:uid="{E5299362-ED7C-40F6-B103-6927FE275EAE}" name="Feed name" dataDxfId="101"/>
    <tableColumn id="2" xr3:uid="{1A7B4BAE-CC56-4D21-9069-9B0915F2A7F8}" name="Product ID" dataDxfId="100"/>
    <tableColumn id="3" xr3:uid="{949948D8-6549-41E7-958A-5E0B7934684F}" name="Fish meal in feed derived from forage fisheries (%)" dataDxfId="99"/>
    <tableColumn id="4" xr3:uid="{8B69F589-2327-436B-8354-F7C13E6C705A}" name="Fish oil in feed derived from forage fisheries (%)" dataDxfId="98"/>
    <tableColumn id="5" xr3:uid="{CA8760DA-392D-4815-BE71-EBADD264BF2F}" name="EPA and DHA content of fish oil (%)" dataDxfId="97"/>
    <tableColumn id="6" xr3:uid="{24E2B2D4-DB5C-412C-A9FA-18162B03BDB0}" name="Fish oil yield per kg fish (%)" dataDxfId="96"/>
    <tableColumn id="7" xr3:uid="{89C84C03-4505-45DD-89AB-092A2E6E3B45}" name="Fish meal yield per kg fish (%)" dataDxfId="95"/>
    <tableColumn id="8" xr3:uid="{454C31F9-0681-4FC1-B070-92E59FAC8CD1}" name="Protein content (%)" dataDxfId="94"/>
    <tableColumn id="11" xr3:uid="{76BF195E-7E65-4780-ADE6-9C717EBA20EB}" name="GMO ingredients (%)" dataDxfId="93"/>
    <tableColumn id="14" xr3:uid="{44832D39-E0D3-468A-B942-190C74EFCCB7}" name="Notes" dataDxfId="92"/>
  </tableColumns>
  <tableStyleInfo name="TableStyleMedium13" showFirstColumn="0" showLastColumn="0" showRowStripes="1" showColumnStripes="0"/>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52CBFDF9-E684-4151-B1B5-F36E25C6E808}" name="Table7" displayName="Table7" ref="C74:G270" totalsRowShown="0" headerRowDxfId="91" dataDxfId="90">
  <tableColumns count="5">
    <tableColumn id="2" xr3:uid="{194F001F-7A66-4CD2-8D9F-6CBE3103A70D}" name="Species in production (select)" dataDxfId="89"/>
    <tableColumn id="3" xr3:uid="{9EBE185A-5845-47A7-914C-08F7B3ABCA75}" name="Cycle ID (select)" dataDxfId="88"/>
    <tableColumn id="11" xr3:uid="{ACBE897F-6E90-4555-BAD7-092AC639D232}" name="Feed name (select)" dataDxfId="87"/>
    <tableColumn id="4" xr3:uid="{4F580E75-9314-47D4-9EA2-E1B6B9B88E64}" name="Feed use (tonnes)" dataDxfId="86"/>
    <tableColumn id="5" xr3:uid="{7A636EEB-156B-4C54-AB47-E3FED5C295B2}" name="Notes" dataDxfId="85"/>
  </tableColumns>
  <tableStyleInfo name="TableStyleMedium13" showFirstColumn="0" showLastColumn="0" showRowStripes="1" showColumnStripes="0"/>
</table>
</file>

<file path=xl/tables/table5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04CF5778-D9A4-49FE-B58D-7AC7F43913A9}" name="Table10" displayName="Table10" ref="N4:O70" totalsRowShown="0" headerRowDxfId="84" dataDxfId="83">
  <tableColumns count="2">
    <tableColumn id="1" xr3:uid="{30B5F661-0AEE-466B-A09F-4431B365FF76}" name="Species in production" dataDxfId="82">
      <calculatedColumnFormula>IF('Dropdown tables - Production'!G3= 0, "", 'Dropdown tables - Production'!G3)</calculatedColumnFormula>
    </tableColumn>
    <tableColumn id="2" xr3:uid="{719504EA-E266-4B6E-9CC3-44DF2165987C}" name="Animal protein content (%)" dataDxfId="81"/>
  </tableColumns>
  <tableStyleInfo name="TableStyleMedium13" showFirstColumn="0" showLastColumn="0" showRowStripes="1" showColumnStripes="0"/>
</table>
</file>

<file path=xl/tables/table5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1DB7AAFF-F9F9-4303-B3B5-29904F0EA5DE}" name="Table11" displayName="Table11" ref="Q4:X70" totalsRowShown="0" headerRowDxfId="80" dataDxfId="79">
  <tableColumns count="8">
    <tableColumn id="3" xr3:uid="{5B9669D3-8B34-4E5B-81B2-690C60D13B52}" name="Species in production" dataDxfId="78">
      <calculatedColumnFormula>IF('Dropdown tables - Production'!G3= 0, "", 'Dropdown tables - Production'!G3)</calculatedColumnFormula>
    </tableColumn>
    <tableColumn id="4" xr3:uid="{99480815-4FBD-4FC2-B70D-7E8AAC6DEFE4}" name="ASC certified net production volume (tonnes)" dataDxfId="77">
      <calculatedColumnFormula>IF(Table11[[#This Row],[Species in production]]= "", "", SUMIFS(Table126[ASC certified net production volume (tonnes)],Table126[Species in production (Latin name) (select)],Feed!Q5))</calculatedColumnFormula>
    </tableColumn>
    <tableColumn id="5" xr3:uid="{6A64E3E7-D02A-4F48-8536-9B1AE4B07300}" name="eFCR" dataDxfId="76">
      <calculatedColumnFormula>IFERROR((SUMIFS(Table7[Feed use (tonnes)],Table7[Species in production (select)],Table11[[#This Row],[Species in production]])/Table11[[#This Row],[ASC certified net production volume (tonnes)]]), "")</calculatedColumnFormula>
    </tableColumn>
    <tableColumn id="6" xr3:uid="{30850BA5-7F06-4889-88B0-567BC0BCFBE8}" name="PRE (%)" dataDxfId="75">
      <calculatedColumnFormula array="1" xml:space="preserve"> IFERROR((((SUMPRODUCT((Q5=Table10[Species in production])*(Table10[Animal protein content (%)]))*R5)/100)/(SUMIFS(Table38[Protein fed per feed type (tonnes)], Table7[Species in production (select)],Table11[[#This Row],[Species in production]]))*100), "")</calculatedColumnFormula>
    </tableColumn>
    <tableColumn id="7" xr3:uid="{35AA3405-EE12-4447-BD9A-493E3956B4AE}" name="FFDRm" dataDxfId="74">
      <calculatedColumnFormula xml:space="preserve"> IFERROR((SUMIFS(Table38[FM%/yield*feed use], Table7[Species in production (select)],Table11[[#This Row],[Species in production]])/SUMIFS(Table7[Feed use (tonnes)],Table7[Species in production (select)], Table11[[#This Row],[Species in production]])*Table11[[#This Row],[eFCR]]), "")</calculatedColumnFormula>
    </tableColumn>
    <tableColumn id="8" xr3:uid="{C2DD8C4E-D619-47C8-AE95-41562898DD6B}" name="FFDRo" dataDxfId="73">
      <calculatedColumnFormula xml:space="preserve"> IFERROR((SUMIFS(Table38[FO%/yield*feed use], Table7[Species in production (select)],Table11[[#This Row],[Species in production]])/SUMIFS(Table7[Feed use (tonnes)], Table7[Species in production (select)], Table11[[#This Row],[Species in production]])*Table11[[#This Row],[eFCR]]), "")</calculatedColumnFormula>
    </tableColumn>
    <tableColumn id="9" xr3:uid="{0D6CCB3D-2528-4553-907B-3D1B55954658}" name="EPA and DHA in feed (g/kg feed)" dataDxfId="72">
      <calculatedColumnFormula xml:space="preserve"> IFERROR((SUMIFS(Table38[total EPA and DHA in feed, per type (g)],Table7[Species in production (select)], Table11[[#This Row],[Species in production]])/(SUMIFS(Table7[Feed use (tonnes)],Table7[Species in production (select)], Table11[[#This Row],[Species in production]])*1000)), "")</calculatedColumnFormula>
    </tableColumn>
    <tableColumn id="1" xr3:uid="{D9B6A487-FEC2-4E22-BFB8-F4E933D1DD61}" name="EPA and DHA in fish oil (%)" dataDxfId="71">
      <calculatedColumnFormula>IFERROR((SUMIFS(Table38[EPA and DHA% * feed use],Table7[Species in production (select)], Table11[[#This Row],[Species in production]])/(SUMIFS(Table7[Feed use (tonnes)],Table7[Species in production (select)], Table11[[#This Row],[Species in production]]))), "")</calculatedColumnFormula>
    </tableColumn>
  </tableColumns>
  <tableStyleInfo name="TableStyleMedium13" showFirstColumn="0" showLastColumn="0" showRowStripes="1" showColumnStripes="0"/>
</table>
</file>

<file path=xl/tables/table5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45052A02-71B1-4839-AEC7-805047312E49}" name="Table38" displayName="Table38" ref="Y74:AC270" totalsRowShown="0" headerRowDxfId="70" dataDxfId="68" headerRowBorderDxfId="69" tableBorderDxfId="67" totalsRowBorderDxfId="66">
  <autoFilter ref="Y74:AC270" xr:uid="{45052A02-71B1-4839-AEC7-805047312E49}"/>
  <tableColumns count="5">
    <tableColumn id="1" xr3:uid="{83C038E6-A433-4C99-B9F0-EC03FD64CA6C}" name="Protein fed per feed type (tonnes)" dataDxfId="65">
      <calculatedColumnFormula>(VLOOKUP(E75, $C$4:$J$70, 8, 0))/100*F75</calculatedColumnFormula>
    </tableColumn>
    <tableColumn id="3" xr3:uid="{6CA4D03F-15D8-4B2D-865F-70E5600B8F6B}" name="total EPA and DHA in feed, per type (g)" dataDxfId="64">
      <calculatedColumnFormula>(VLOOKUP(E75,$C$4:$J$70,4,0))*(VLOOKUP(E75,$C$4:$J$70,5,0))*F75*100</calculatedColumnFormula>
    </tableColumn>
    <tableColumn id="4" xr3:uid="{1D5A1ACD-D403-4197-A2BA-D6F6E2F91733}" name="FO%/yield*feed use" dataDxfId="63">
      <calculatedColumnFormula>(VLOOKUP(E75,Table6[#All],4,0))/(VLOOKUP(E75,Table6[#All],6,0))*F75</calculatedColumnFormula>
    </tableColumn>
    <tableColumn id="5" xr3:uid="{B779C2F2-2370-4B6F-827C-DD7C1B3F10F1}" name="FM%/yield*feed use" dataDxfId="62">
      <calculatedColumnFormula>(VLOOKUP(E75,Table6[#All],3,0))/(VLOOKUP(E75,Table6[#All],7,0))*F75</calculatedColumnFormula>
    </tableColumn>
    <tableColumn id="2" xr3:uid="{90532AC8-BFB7-4BBE-8F24-A7F9EE8DD8B5}" name="EPA and DHA% * feed use" dataDxfId="61">
      <calculatedColumnFormula>(VLOOKUP(E75,$C$4:$J$70,5,0))*F75</calculatedColumnFormula>
    </tableColumn>
  </tableColumns>
  <tableStyleInfo name="TableStyleMedium13" showFirstColumn="0" showLastColumn="0" showRowStripes="1" showColumnStripes="0"/>
</table>
</file>

<file path=xl/tables/table5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1EF9F505-3E24-4D07-8177-21109696A235}" name="Table225" displayName="Table225" ref="C4:G40" totalsRowShown="0" headerRowDxfId="60" dataDxfId="59">
  <tableColumns count="5">
    <tableColumn id="2" xr3:uid="{1C30C1F8-AE4F-41C5-993D-3AE1E772CD52}" name="Species in production (Latin name) (select)" dataDxfId="58"/>
    <tableColumn id="8" xr3:uid="{5FA96222-5F0A-4223-BE83-7B0C262E15A9}" name="Cycle ID_x000a_(select)" dataDxfId="57"/>
    <tableColumn id="5" xr3:uid="{E06A65CD-8F05-4421-AB2F-3F7DA83E94A2}" name="Mortality count_x000a_(# animals)" dataDxfId="56"/>
    <tableColumn id="4" xr3:uid="{259305E3-CD1B-4B41-9220-A92936EF4236}" name="Mortality cause_x000a_(select)" dataDxfId="55"/>
    <tableColumn id="6" xr3:uid="{7AE5404C-5642-4466-9666-E1539BB8F5D5}" name="Notes" dataDxfId="54"/>
  </tableColumns>
  <tableStyleInfo name="TableStyleMedium13" showFirstColumn="0" showLastColumn="0" showRowStripes="1" showColumnStripes="0"/>
</table>
</file>

<file path=xl/tables/table5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2CA4A291-9FD1-4F18-8EAF-9B77E6A20C17}" name="Table34" displayName="Table34" ref="I4:N27" totalsRowShown="0" headerRowDxfId="53" dataDxfId="51" headerRowBorderDxfId="52">
  <tableColumns count="6">
    <tableColumn id="2" xr3:uid="{811DFCC5-B323-4334-89D2-FCA08E99CD76}" name="Species in production" dataDxfId="50">
      <calculatedColumnFormula>'Dropdown tables - Production'!G3</calculatedColumnFormula>
    </tableColumn>
    <tableColumn id="3" xr3:uid="{A9C8C5D1-91C2-4CD5-981A-0F1036793673}" name="Stocking count _x000a_(# animals)" dataDxfId="49">
      <calculatedColumnFormula>IF(IF(I5=0, "", SUMIFS(Table126[Stocking count 
('# animals)],Table126[Species in production (Latin name) (select)],Table34[[#This Row],[Species in production]]))=0, "0",IF(I5=0, "", SUMIFS(Table126[Stocking count 
('# animals)],Table126[Species in production (Latin name) (select)],Table34[[#This Row],[Species in production]])))</calculatedColumnFormula>
    </tableColumn>
    <tableColumn id="10" xr3:uid="{FBB74861-EA2A-4984-9EB9-C18A66E2EAD4}" name="Harvest count (# animals)" dataDxfId="48">
      <calculatedColumnFormula>IF(IF(I5=0, "", SUMIFS(Table126[Harvest count 
('# animals)],Table126[Species in production (Latin name) (select)],Table34[[#This Row],[Species in production]]))=0, "0",IF(I5=0, "", SUMIFS(Table126[Harvest count 
('# animals)],Table126[Species in production (Latin name) (select)],Table34[[#This Row],[Species in production]])))</calculatedColumnFormula>
    </tableColumn>
    <tableColumn id="6" xr3:uid="{FC51F047-4C87-4AFD-83E8-56F49BE4226B}" name="Mortality count (# animals)" dataDxfId="47">
      <calculatedColumnFormula>IF(I5= 0, "", (SUMIFS(Table225[Mortality count
('# animals)],Table225[Species in production (Latin name) (select)],I5)))</calculatedColumnFormula>
    </tableColumn>
    <tableColumn id="7" xr3:uid="{327FA8C2-E188-426E-BEBD-1FD9011CEFB3}" name="Mortality rate (%)" dataDxfId="46">
      <calculatedColumnFormula>IFERROR((Table34[[#This Row],[Mortality count ('# animals)]]/(Table34[[#This Row],[Stocking count 
('# animals)]]))*100, "")</calculatedColumnFormula>
    </tableColumn>
    <tableColumn id="9" xr3:uid="{EE8F6129-A04E-4B72-8196-10C1DCA624D6}" name="Real percentage mortality (%)" dataDxfId="45">
      <calculatedColumnFormula>IFERROR(((Table34[[#This Row],[Stocking count 
('# animals)]]-Table34[[#This Row],[Harvest count ('# animals)]])/(Table34[[#This Row],[Stocking count 
('# animals)]]))*100, "")</calculatedColumnFormula>
    </tableColumn>
  </tableColumns>
  <tableStyleInfo name="TableStyleMedium13" showFirstColumn="0" showLastColumn="0" showRowStripes="1" showColumnStripes="0"/>
</table>
</file>

<file path=xl/tables/table5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5" xr:uid="{9B2D41B6-B518-4232-A395-E08AB4DB50C3}" name="Table22526" displayName="Table22526" ref="C4:J20" totalsRowShown="0" headerRowDxfId="44" dataDxfId="43">
  <tableColumns count="8">
    <tableColumn id="8" xr3:uid="{76FE9803-9C01-41C4-9C38-AD969FDF71DB}" name="Cycle ID_x000a_(select)" dataDxfId="42"/>
    <tableColumn id="2" xr3:uid="{ABDF1E8D-6259-4A7B-8E38-DE51A4738900}" name="Cleaner fish species_x000a_(latin name) (select)_x000a_" dataDxfId="41"/>
    <tableColumn id="7" xr3:uid="{05862BAC-CCB1-4189-B7BB-7F10201947F2}" name="Stocking count _x000a_(# animals)" dataDxfId="40"/>
    <tableColumn id="3" xr3:uid="{BD4E9936-D8C5-4AA4-81BB-9912EAFFE677}" name="Harvest count (# animals)" dataDxfId="39"/>
    <tableColumn id="5" xr3:uid="{2295BEED-D3AB-4F24-9494-41292664479A}" name="Mortality count_x000a_(# animals)" dataDxfId="38"/>
    <tableColumn id="9" xr3:uid="{D67A8407-DB68-4C01-BBE7-4023BE6BAA94}" name="Mortality rate_x000a_(%)" dataDxfId="37">
      <calculatedColumnFormula>IFERROR((Table22526[[#This Row],[Mortality count
('# animals)]]/(Table22526[[#This Row],[Stocking count 
('# animals)]]))*100, "")</calculatedColumnFormula>
    </tableColumn>
    <tableColumn id="4" xr3:uid="{A37B002E-1D5C-4A61-A554-164D849AA09F}" name="Real percentage mortality_x000a_(%)" dataDxfId="36">
      <calculatedColumnFormula>IFERROR(((Table22526[[#This Row],[Stocking count 
('# animals)]]-Table22526[[#This Row],[Harvest count ('# animals)]])/(Table22526[[#This Row],[Stocking count 
('# animals)]]))*100, "")</calculatedColumnFormula>
    </tableColumn>
    <tableColumn id="6" xr3:uid="{DD002572-2B15-4938-BC15-E3D3E181EAE9}" name="Notes" dataDxfId="35"/>
  </tableColumns>
  <tableStyleInfo name="TableStyleMedium13" showFirstColumn="0" showLastColumn="0" showRowStripes="1" showColumnStripes="0"/>
</table>
</file>

<file path=xl/tables/table5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A0E9B0ED-7B38-4DEA-98D3-4A1D87AC5EEE}" name="Table4" displayName="Table4" ref="C4:M114" totalsRowShown="0" headerRowDxfId="34" dataDxfId="33">
  <tableColumns count="11">
    <tableColumn id="2" xr3:uid="{372033B1-ACE5-428B-B030-4A66D650FA70}" name="Species in production (Latin name) (select)" dataDxfId="32"/>
    <tableColumn id="14" xr3:uid="{0905C81F-5882-4B7D-870C-90305C804E9C}" name="Cycle ID_x000a_(select)" dataDxfId="31"/>
    <tableColumn id="9" xr3:uid="{7DD49E58-26DD-43E1-8C30-28E9EBBF1543}" name="Start date of treatment_x000a_(dd-mm-yyyy)" dataDxfId="30"/>
    <tableColumn id="12" xr3:uid="{927715AD-FC27-4F7D-B820-AE79843CF62F}" name="End date of treatment_x000a_(dd-mm-yyyy)" dataDxfId="29"/>
    <tableColumn id="16" xr3:uid="{C19B84E0-45B7-4556-A2EF-41660069A435}" name="Type of treatment (select)" dataDxfId="28"/>
    <tableColumn id="15" xr3:uid="{DFEC1C36-0754-47A5-B8C9-FDAE51EAA14D}" name="Reason for use" dataDxfId="27"/>
    <tableColumn id="5" xr3:uid="{8FCB593B-18F5-41B4-A0E9-EFF42D2EC10B}" name="Active component name" dataDxfId="26"/>
    <tableColumn id="17" xr3:uid="{6CBBAC2B-5FAE-4732-8E3A-D45A85BDE297}" name="Product name" dataDxfId="25"/>
    <tableColumn id="6" xr3:uid="{106BDAC6-8310-478E-B7A2-C1586185EB4F}" name="WHO classification (select)" dataDxfId="24"/>
    <tableColumn id="10" xr3:uid="{6536A585-12C9-4DC2-9360-238F4A0736CB}" name="Amount of active component (kg)" dataDxfId="23"/>
    <tableColumn id="3" xr3:uid="{394CB27F-3270-4F61-B75C-3765A48C8D3A}" name="Notes" dataDxfId="22"/>
  </tableColumns>
  <tableStyleInfo name="TableStyleMedium13" showFirstColumn="0" showLastColumn="0" showRowStripes="1" showColumnStripes="0"/>
</table>
</file>

<file path=xl/tables/table5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3097B926-FD77-4E31-AB8D-C24207F3B9F5}" name="Table8" displayName="Table8" ref="S4:W55" totalsRowShown="0" headerRowDxfId="21" dataDxfId="20" tableBorderDxfId="19">
  <autoFilter ref="S4:W55" xr:uid="{3097B926-FD77-4E31-AB8D-C24207F3B9F5}">
    <filterColumn colId="0" hiddenButton="1"/>
    <filterColumn colId="1" hiddenButton="1"/>
    <filterColumn colId="2" hiddenButton="1"/>
    <filterColumn colId="3" hiddenButton="1"/>
    <filterColumn colId="4" hiddenButton="1"/>
  </autoFilter>
  <tableColumns count="5">
    <tableColumn id="1" xr3:uid="{262D1E60-9DA9-47B8-B6E0-AE13B0CF48E0}" name="Species in production" dataDxfId="18">
      <calculatedColumnFormula>IF('Dropdown tables - Production'!K3=0, "", 'Dropdown tables - Production'!K3)</calculatedColumnFormula>
    </tableColumn>
    <tableColumn id="2" xr3:uid="{754ACE2B-4196-415E-AD4D-42D0EA61D877}" name="Cycle ID" dataDxfId="17">
      <calculatedColumnFormula>IF('Dropdown tables - Production'!L3=0, "", 'Dropdown tables - Production'!L3)</calculatedColumnFormula>
    </tableColumn>
    <tableColumn id="3" xr3:uid="{749F1505-A8FA-40D2-80E2-84E95A091717}" name="Active component name" dataDxfId="16">
      <calculatedColumnFormula>IF('Dropdown tables - Production'!M3=0, "", 'Dropdown tables - Production'!M3)</calculatedColumnFormula>
    </tableColumn>
    <tableColumn id="4" xr3:uid="{28436B13-AEE9-465A-87EE-87A34932E168}" name="ASC certified net production volume (tonnes)" dataDxfId="15">
      <calculatedColumnFormula>IF(Table8[[#This Row],[Species in production]]="", "", SUMIFS(Table126[ASC certified net production volume (tonnes)],Table126[Species in production (Latin name) (select)],Table8[[#This Row],[Species in production]],Table126[Cycle ID],Table8[[#This Row],[Cycle ID]]))</calculatedColumnFormula>
    </tableColumn>
    <tableColumn id="5" xr3:uid="{4D17D413-9108-45EE-9A60-1141D1030682}" name="Antiparasitic load (kg/tonne)" dataDxfId="14">
      <calculatedColumnFormula>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calculatedColumnFormula>
    </tableColumn>
  </tableColumns>
  <tableStyleInfo name="TableStyleMedium13"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FFABE9BD-4B15-4B12-AE09-F4AEAA2490EE}" name="Table48" displayName="Table48" ref="C56:F60" totalsRowShown="0" headerRowDxfId="439" dataDxfId="438">
  <tableColumns count="4">
    <tableColumn id="1" xr3:uid="{CFE86A4D-F11C-42B8-9B28-B701CF313B0A}" name="Site name " dataDxfId="437" totalsRowDxfId="436">
      <calculatedColumnFormula>C47</calculatedColumnFormula>
    </tableColumn>
    <tableColumn id="2" xr3:uid="{ACB73B0D-E96C-4D78-8559-C841EB40FAA6}" name="EQS sampling zone" dataDxfId="435" totalsRowDxfId="434"/>
    <tableColumn id="4" xr3:uid="{CED11FCC-C67A-4233-8219-A02B845E10D6}" name="Zone EQS score" dataDxfId="433" totalsRowDxfId="432">
      <calculatedColumnFormula array="1">_xlfn.IFS(D45= "Total Free Sulphide (S2-UV μM)", (H45*0.75+H46*0.25), D45="Total Free Sulphide (S2-ISE μM)", (H45+H46)/2)</calculatedColumnFormula>
    </tableColumn>
    <tableColumn id="3" xr3:uid="{0743C68F-5966-4A70-B46C-873F99D1071E}" name="Zone EQS category" dataDxfId="431" totalsRowDxfId="430">
      <calculatedColumnFormula array="1">IFERROR(( INDEX(Table20[EQS category ref], MATCH(1,(Table48[[#This Row],[Zone EQS score]]&gt;Table20[Larger than])*(Table48[[#This Row],[Zone EQS score]]&lt;=Table20[Equal or smaller than]),0))), "")</calculatedColumnFormula>
    </tableColumn>
  </tableColumns>
  <tableStyleInfo name="TableStyleMedium13" showFirstColumn="0" showLastColumn="0" showRowStripes="1" showColumnStripes="0"/>
</table>
</file>

<file path=xl/tables/table6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34FEB6FF-D75E-413F-94FD-08DCEB36A887}" name="Table15" displayName="Table15" ref="O4:Q27" totalsRowShown="0" headerRowDxfId="13" tableBorderDxfId="12">
  <tableColumns count="3">
    <tableColumn id="1" xr3:uid="{C92CB741-B3B4-45EA-B738-D4608AB41BBF}" name="Species in production" dataDxfId="11">
      <calculatedColumnFormula>IF('Dropdown tables - Production'!G3 = 0, "", 'Dropdown tables - Production'!G3)</calculatedColumnFormula>
    </tableColumn>
    <tableColumn id="2" xr3:uid="{D43C669B-7B31-4E1C-BBA2-71AF477D8DF6}" name="ASC certified net production volume (tonnes)" dataDxfId="10">
      <calculatedColumnFormula>IF(Table15[[#This Row],[Species in production]] = "", "", SUMIFS(Table126[ASC certified net production volume (tonnes)],Table126[Species in production (Latin name) (select)],Table15[[#This Row],[Species in production]]))</calculatedColumnFormula>
    </tableColumn>
    <tableColumn id="3" xr3:uid="{2A02EC67-0DE2-465A-B1D1-4D0D36CACE30}" name="Antibiotic load (kg/tonne)" dataDxfId="0">
      <calculatedColumnFormula>IFERROR((SUMIFS(Table4[Amount of active component (kg)],Table4[Species in production (Latin name) (select)],Table15[[#This Row],[Species in production]],Table4[Type of treatment (select)], "Antibiotic")/Table15[[#This Row],[ASC certified net production volume (tonnes)]]), "")</calculatedColumnFormula>
    </tableColumn>
  </tableColumns>
  <tableStyleInfo name="TableStyleMedium13" showFirstColumn="0" showLastColumn="0" showRowStripes="1" showColumnStripes="0"/>
</table>
</file>

<file path=xl/tables/table6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4711C461-451B-4ED1-B480-2CB09CC0C4D3}" name="Table3924" displayName="Table3924" ref="C4:I1000" totalsRowShown="0" headerRowDxfId="9" dataDxfId="8">
  <tableColumns count="7">
    <tableColumn id="8" xr3:uid="{98FA8372-65A3-4D57-B69D-AFDD5FAE2B75}" name="Date_x000a_(dd-mm-yyyy)" dataDxfId="7"/>
    <tableColumn id="9" xr3:uid="{3908ECE4-3EF7-4CE1-AADA-331BDC19AD06}" name="Week_x000a_(ww)" dataDxfId="6"/>
    <tableColumn id="2" xr3:uid="{B0BFD7A3-F4E6-46C8-9CDB-046748AB5BE2}" name="Year_x000a_(yyyy)" dataDxfId="5"/>
    <tableColumn id="3" xr3:uid="{85424C31-F6F5-4344-8146-8ADC333ADE97}" name="Sea lice species_x000a_(select)" dataDxfId="4"/>
    <tableColumn id="4" xr3:uid="{DDD2C7B9-56CA-4A86-ADD3-4A484FDBCE25}" name="Life stage_x000a_(select)" dataDxfId="3"/>
    <tableColumn id="5" xr3:uid="{33F753DE-8618-48F8-B4CC-613877D3E9A0}" name="Average sea lice count_x000a_(#/fish)" dataDxfId="2"/>
    <tableColumn id="7" xr3:uid="{D6952655-6589-42AB-BEB3-85FD5BB019C0}" name="Notes" dataDxfId="1"/>
  </tableColumns>
  <tableStyleInfo name="TableStyleMedium13"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576F5320-2447-495A-826F-EF44E8FB6139}" name="Table5844" displayName="Table5844" ref="C64:D65" totalsRowShown="0" headerRowDxfId="429" dataDxfId="428">
  <tableColumns count="2">
    <tableColumn id="1" xr3:uid="{3A351EEC-79D4-442F-9DA9-81011AA4D06C}" name="Site name" dataDxfId="427">
      <calculatedColumnFormula>C57</calculatedColumnFormula>
    </tableColumn>
    <tableColumn id="3" xr3:uid="{7204A590-CD9D-40D9-8632-C8C62052AECD}" name="Benthic status - _x000a_Level 1 and 2" dataDxfId="426">
      <calculatedColumnFormula array="1">IFERROR((INDEX(Table4046[Benthic status], MATCH(1, (F60=AG5:AG1300)*(F57=AH5:AH1300)*(F58=AI5:AI1300)*(F59=AJ5:AJ1300), 0))), "")</calculatedColumnFormula>
    </tableColumn>
  </tableColumns>
  <tableStyleInfo name="TableStyleMedium13"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DBD2378A-F48D-42B2-A575-46EF1309EE59}" name="Table4046" displayName="Table4046" ref="AG4:AK1300" totalsRowShown="0" headerRowDxfId="425" dataDxfId="424">
  <autoFilter ref="AG4:AK1300" xr:uid="{DBD2378A-F48D-42B2-A575-46EF1309EE59}"/>
  <tableColumns count="5">
    <tableColumn id="1" xr3:uid="{3EA1411A-4C41-4D55-AEEE-80639787E8A5}" name="Reference zone " dataDxfId="423"/>
    <tableColumn id="2" xr3:uid="{F0A4C6F6-524B-4FBB-A0B6-3D5F4245D22D}" name="Farm monitoring zone 1" dataDxfId="422"/>
    <tableColumn id="3" xr3:uid="{3BB54673-7366-4278-9C96-C538040E0B5A}" name="Farm monitoring zone 2" dataDxfId="421"/>
    <tableColumn id="4" xr3:uid="{C4E14722-5099-437B-87B6-F3E0B11A8AA0}" name="Farm monitoring zone 3" dataDxfId="420"/>
    <tableColumn id="5" xr3:uid="{3EAE8852-9C03-4575-8FD6-F40DD6B87C4F}" name="Benthic status" dataDxfId="419"/>
  </tableColumns>
  <tableStyleInfo name="TableStyleMedium13"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13ED8AD4-D379-45F9-B898-47B606230DCA}" name="Table61" displayName="Table61" ref="C16:K40" totalsRowShown="0" headerRowDxfId="418" dataDxfId="416" headerRowBorderDxfId="417">
  <tableColumns count="9">
    <tableColumn id="1" xr3:uid="{CAA9160F-5FA4-421A-9299-946021B4C179}" name="Site name" dataDxfId="415">
      <calculatedColumnFormula>C5</calculatedColumnFormula>
    </tableColumn>
    <tableColumn id="2" xr3:uid="{CF6EA3AE-9E3E-4FEA-9F1B-0BD868C02A5D}" name="Sampling date (dd-mm-yyyy)" dataDxfId="414"/>
    <tableColumn id="3" xr3:uid="{FAB004AE-33C6-4DB3-8850-8BDDC11FDF10}" name="Abiotic indicator" dataDxfId="413"/>
    <tableColumn id="4" xr3:uid="{FDAEC016-02E8-4EF5-BB0F-D09116DF50CB}" name="Direction compared to water flow" dataDxfId="412"/>
    <tableColumn id="5" xr3:uid="{BE31E2CE-A096-41D0-B121-A8B1E4C760B3}" name="EQS sampling zone" dataDxfId="411"/>
    <tableColumn id="6" xr3:uid="{E121B30D-3666-4BA1-BAE6-6CF2E14362D5}" name="Distance from edge of cages (m)" dataDxfId="410"/>
    <tableColumn id="7" xr3:uid="{09480A54-B914-4307-BF4D-9BD10D68D530}" name="Avg. value - sample 1" dataDxfId="409"/>
    <tableColumn id="8" xr3:uid="{394F7D11-D322-43DE-A5EC-F891D51FA5F1}" name="Avg. value - sample 2" dataDxfId="408"/>
    <tableColumn id="10" xr3:uid="{71667AB5-E44B-418E-8170-2288F5C05EC9}" name="Notes" dataDxfId="407"/>
  </tableColumns>
  <tableStyleInfo name="TableStyleMedium13"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myasc.asc-aqua.org/login/" TargetMode="External"/></Relationships>
</file>

<file path=xl/worksheets/_rels/sheet10.xml.rels><?xml version="1.0" encoding="UTF-8" standalone="yes"?>
<Relationships xmlns="http://schemas.openxmlformats.org/package/2006/relationships"><Relationship Id="rId8" Type="http://schemas.openxmlformats.org/officeDocument/2006/relationships/table" Target="../tables/table48.xml"/><Relationship Id="rId3" Type="http://schemas.openxmlformats.org/officeDocument/2006/relationships/table" Target="../tables/table43.xml"/><Relationship Id="rId7" Type="http://schemas.openxmlformats.org/officeDocument/2006/relationships/table" Target="../tables/table47.xml"/><Relationship Id="rId2" Type="http://schemas.openxmlformats.org/officeDocument/2006/relationships/drawing" Target="../drawings/drawing8.xml"/><Relationship Id="rId1" Type="http://schemas.openxmlformats.org/officeDocument/2006/relationships/printerSettings" Target="../printerSettings/printerSettings5.bin"/><Relationship Id="rId6" Type="http://schemas.openxmlformats.org/officeDocument/2006/relationships/table" Target="../tables/table46.xml"/><Relationship Id="rId5" Type="http://schemas.openxmlformats.org/officeDocument/2006/relationships/table" Target="../tables/table45.xml"/><Relationship Id="rId4" Type="http://schemas.openxmlformats.org/officeDocument/2006/relationships/table" Target="../tables/table44.xml"/><Relationship Id="rId9" Type="http://schemas.openxmlformats.org/officeDocument/2006/relationships/table" Target="../tables/table49.xml"/></Relationships>
</file>

<file path=xl/worksheets/_rels/sheet11.xml.rels><?xml version="1.0" encoding="UTF-8" standalone="yes"?>
<Relationships xmlns="http://schemas.openxmlformats.org/package/2006/relationships"><Relationship Id="rId8" Type="http://schemas.openxmlformats.org/officeDocument/2006/relationships/table" Target="../tables/table54.xml"/><Relationship Id="rId3" Type="http://schemas.openxmlformats.org/officeDocument/2006/relationships/vmlDrawing" Target="../drawings/vmlDrawing1.vml"/><Relationship Id="rId7" Type="http://schemas.openxmlformats.org/officeDocument/2006/relationships/table" Target="../tables/table53.xml"/><Relationship Id="rId2" Type="http://schemas.openxmlformats.org/officeDocument/2006/relationships/drawing" Target="../drawings/drawing9.xml"/><Relationship Id="rId1" Type="http://schemas.openxmlformats.org/officeDocument/2006/relationships/printerSettings" Target="../printerSettings/printerSettings6.bin"/><Relationship Id="rId6" Type="http://schemas.openxmlformats.org/officeDocument/2006/relationships/table" Target="../tables/table52.xml"/><Relationship Id="rId5" Type="http://schemas.openxmlformats.org/officeDocument/2006/relationships/table" Target="../tables/table51.xml"/><Relationship Id="rId4" Type="http://schemas.openxmlformats.org/officeDocument/2006/relationships/table" Target="../tables/table50.xml"/><Relationship Id="rId9" Type="http://schemas.openxmlformats.org/officeDocument/2006/relationships/comments" Target="../comments1.xml"/></Relationships>
</file>

<file path=xl/worksheets/_rels/sheet12.xml.rels><?xml version="1.0" encoding="UTF-8" standalone="yes"?>
<Relationships xmlns="http://schemas.openxmlformats.org/package/2006/relationships"><Relationship Id="rId3" Type="http://schemas.openxmlformats.org/officeDocument/2006/relationships/table" Target="../tables/table56.xml"/><Relationship Id="rId2" Type="http://schemas.openxmlformats.org/officeDocument/2006/relationships/table" Target="../tables/table55.xml"/><Relationship Id="rId1" Type="http://schemas.openxmlformats.org/officeDocument/2006/relationships/drawing" Target="../drawings/drawing10.xml"/></Relationships>
</file>

<file path=xl/worksheets/_rels/sheet13.xml.rels><?xml version="1.0" encoding="UTF-8" standalone="yes"?>
<Relationships xmlns="http://schemas.openxmlformats.org/package/2006/relationships"><Relationship Id="rId2" Type="http://schemas.openxmlformats.org/officeDocument/2006/relationships/table" Target="../tables/table57.xml"/><Relationship Id="rId1" Type="http://schemas.openxmlformats.org/officeDocument/2006/relationships/drawing" Target="../drawings/drawing11.xml"/></Relationships>
</file>

<file path=xl/worksheets/_rels/sheet14.xml.rels><?xml version="1.0" encoding="UTF-8" standalone="yes"?>
<Relationships xmlns="http://schemas.openxmlformats.org/package/2006/relationships"><Relationship Id="rId3" Type="http://schemas.openxmlformats.org/officeDocument/2006/relationships/table" Target="../tables/table58.xml"/><Relationship Id="rId2" Type="http://schemas.openxmlformats.org/officeDocument/2006/relationships/drawing" Target="../drawings/drawing12.xml"/><Relationship Id="rId1" Type="http://schemas.openxmlformats.org/officeDocument/2006/relationships/printerSettings" Target="../printerSettings/printerSettings7.bin"/><Relationship Id="rId5" Type="http://schemas.openxmlformats.org/officeDocument/2006/relationships/table" Target="../tables/table60.xml"/><Relationship Id="rId4" Type="http://schemas.openxmlformats.org/officeDocument/2006/relationships/table" Target="../tables/table59.xml"/></Relationships>
</file>

<file path=xl/worksheets/_rels/sheet15.xml.rels><?xml version="1.0" encoding="UTF-8" standalone="yes"?>
<Relationships xmlns="http://schemas.openxmlformats.org/package/2006/relationships"><Relationship Id="rId3" Type="http://schemas.openxmlformats.org/officeDocument/2006/relationships/table" Target="../tables/table61.xml"/><Relationship Id="rId2" Type="http://schemas.openxmlformats.org/officeDocument/2006/relationships/drawing" Target="../drawings/drawing13.xml"/><Relationship Id="rId1" Type="http://schemas.openxmlformats.org/officeDocument/2006/relationships/printerSettings" Target="../printerSettings/printerSettings8.bin"/></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4.xml"/><Relationship Id="rId1" Type="http://schemas.openxmlformats.org/officeDocument/2006/relationships/printerSettings" Target="../printerSettings/printerSettings9.bin"/><Relationship Id="rId4" Type="http://schemas.openxmlformats.org/officeDocument/2006/relationships/comments" Target="../comments2.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drawing" Target="../drawings/drawing2.xml"/></Relationships>
</file>

<file path=xl/worksheets/_rels/sheet5.xml.rels><?xml version="1.0" encoding="UTF-8" standalone="yes"?>
<Relationships xmlns="http://schemas.openxmlformats.org/package/2006/relationships"><Relationship Id="rId8" Type="http://schemas.openxmlformats.org/officeDocument/2006/relationships/table" Target="../tables/table10.xml"/><Relationship Id="rId3" Type="http://schemas.openxmlformats.org/officeDocument/2006/relationships/table" Target="../tables/table5.xml"/><Relationship Id="rId7" Type="http://schemas.openxmlformats.org/officeDocument/2006/relationships/table" Target="../tables/table9.xml"/><Relationship Id="rId2" Type="http://schemas.openxmlformats.org/officeDocument/2006/relationships/table" Target="../tables/table4.xml"/><Relationship Id="rId1" Type="http://schemas.openxmlformats.org/officeDocument/2006/relationships/drawing" Target="../drawings/drawing3.xml"/><Relationship Id="rId6" Type="http://schemas.openxmlformats.org/officeDocument/2006/relationships/table" Target="../tables/table8.xml"/><Relationship Id="rId5" Type="http://schemas.openxmlformats.org/officeDocument/2006/relationships/table" Target="../tables/table7.xml"/><Relationship Id="rId4" Type="http://schemas.openxmlformats.org/officeDocument/2006/relationships/table" Target="../tables/table6.xml"/><Relationship Id="rId9" Type="http://schemas.openxmlformats.org/officeDocument/2006/relationships/table" Target="../tables/table11.xml"/></Relationships>
</file>

<file path=xl/worksheets/_rels/sheet6.xml.rels><?xml version="1.0" encoding="UTF-8" standalone="yes"?>
<Relationships xmlns="http://schemas.openxmlformats.org/package/2006/relationships"><Relationship Id="rId8" Type="http://schemas.openxmlformats.org/officeDocument/2006/relationships/table" Target="../tables/table17.xml"/><Relationship Id="rId3" Type="http://schemas.openxmlformats.org/officeDocument/2006/relationships/table" Target="../tables/table12.xml"/><Relationship Id="rId7" Type="http://schemas.openxmlformats.org/officeDocument/2006/relationships/table" Target="../tables/table16.xml"/><Relationship Id="rId2" Type="http://schemas.openxmlformats.org/officeDocument/2006/relationships/drawing" Target="../drawings/drawing4.xml"/><Relationship Id="rId1" Type="http://schemas.openxmlformats.org/officeDocument/2006/relationships/printerSettings" Target="../printerSettings/printerSettings4.bin"/><Relationship Id="rId6" Type="http://schemas.openxmlformats.org/officeDocument/2006/relationships/table" Target="../tables/table15.xml"/><Relationship Id="rId5" Type="http://schemas.openxmlformats.org/officeDocument/2006/relationships/table" Target="../tables/table14.xml"/><Relationship Id="rId4" Type="http://schemas.openxmlformats.org/officeDocument/2006/relationships/table" Target="../tables/table13.xml"/><Relationship Id="rId9" Type="http://schemas.openxmlformats.org/officeDocument/2006/relationships/table" Target="../tables/table18.xml"/></Relationships>
</file>

<file path=xl/worksheets/_rels/sheet7.xml.rels><?xml version="1.0" encoding="UTF-8" standalone="yes"?>
<Relationships xmlns="http://schemas.openxmlformats.org/package/2006/relationships"><Relationship Id="rId8" Type="http://schemas.openxmlformats.org/officeDocument/2006/relationships/table" Target="../tables/table25.xml"/><Relationship Id="rId3" Type="http://schemas.openxmlformats.org/officeDocument/2006/relationships/table" Target="../tables/table20.xml"/><Relationship Id="rId7" Type="http://schemas.openxmlformats.org/officeDocument/2006/relationships/table" Target="../tables/table24.xml"/><Relationship Id="rId2" Type="http://schemas.openxmlformats.org/officeDocument/2006/relationships/table" Target="../tables/table19.xml"/><Relationship Id="rId1" Type="http://schemas.openxmlformats.org/officeDocument/2006/relationships/drawing" Target="../drawings/drawing5.xml"/><Relationship Id="rId6" Type="http://schemas.openxmlformats.org/officeDocument/2006/relationships/table" Target="../tables/table23.xml"/><Relationship Id="rId5" Type="http://schemas.openxmlformats.org/officeDocument/2006/relationships/table" Target="../tables/table22.xml"/><Relationship Id="rId4" Type="http://schemas.openxmlformats.org/officeDocument/2006/relationships/table" Target="../tables/table21.xml"/><Relationship Id="rId9" Type="http://schemas.openxmlformats.org/officeDocument/2006/relationships/table" Target="../tables/table26.xml"/></Relationships>
</file>

<file path=xl/worksheets/_rels/sheet8.xml.rels><?xml version="1.0" encoding="UTF-8" standalone="yes"?>
<Relationships xmlns="http://schemas.openxmlformats.org/package/2006/relationships"><Relationship Id="rId8" Type="http://schemas.openxmlformats.org/officeDocument/2006/relationships/table" Target="../tables/table33.xml"/><Relationship Id="rId3" Type="http://schemas.openxmlformats.org/officeDocument/2006/relationships/table" Target="../tables/table28.xml"/><Relationship Id="rId7" Type="http://schemas.openxmlformats.org/officeDocument/2006/relationships/table" Target="../tables/table32.xml"/><Relationship Id="rId2" Type="http://schemas.openxmlformats.org/officeDocument/2006/relationships/table" Target="../tables/table27.xml"/><Relationship Id="rId1" Type="http://schemas.openxmlformats.org/officeDocument/2006/relationships/drawing" Target="../drawings/drawing6.xml"/><Relationship Id="rId6" Type="http://schemas.openxmlformats.org/officeDocument/2006/relationships/table" Target="../tables/table31.xml"/><Relationship Id="rId5" Type="http://schemas.openxmlformats.org/officeDocument/2006/relationships/table" Target="../tables/table30.xml"/><Relationship Id="rId4" Type="http://schemas.openxmlformats.org/officeDocument/2006/relationships/table" Target="../tables/table29.xml"/></Relationships>
</file>

<file path=xl/worksheets/_rels/sheet9.xml.rels><?xml version="1.0" encoding="UTF-8" standalone="yes"?>
<Relationships xmlns="http://schemas.openxmlformats.org/package/2006/relationships"><Relationship Id="rId8" Type="http://schemas.openxmlformats.org/officeDocument/2006/relationships/table" Target="../tables/table40.xml"/><Relationship Id="rId3" Type="http://schemas.openxmlformats.org/officeDocument/2006/relationships/table" Target="../tables/table35.xml"/><Relationship Id="rId7" Type="http://schemas.openxmlformats.org/officeDocument/2006/relationships/table" Target="../tables/table39.xml"/><Relationship Id="rId2" Type="http://schemas.openxmlformats.org/officeDocument/2006/relationships/table" Target="../tables/table34.xml"/><Relationship Id="rId1" Type="http://schemas.openxmlformats.org/officeDocument/2006/relationships/drawing" Target="../drawings/drawing7.xml"/><Relationship Id="rId6" Type="http://schemas.openxmlformats.org/officeDocument/2006/relationships/table" Target="../tables/table38.xml"/><Relationship Id="rId5" Type="http://schemas.openxmlformats.org/officeDocument/2006/relationships/table" Target="../tables/table37.xml"/><Relationship Id="rId10" Type="http://schemas.openxmlformats.org/officeDocument/2006/relationships/table" Target="../tables/table42.xml"/><Relationship Id="rId4" Type="http://schemas.openxmlformats.org/officeDocument/2006/relationships/table" Target="../tables/table36.xml"/><Relationship Id="rId9" Type="http://schemas.openxmlformats.org/officeDocument/2006/relationships/table" Target="../tables/table4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49655C-4630-4D50-B603-3044F99D3389}">
  <sheetPr codeName="Sheet18">
    <tabColor theme="8"/>
  </sheetPr>
  <dimension ref="B2:C11"/>
  <sheetViews>
    <sheetView tabSelected="1" zoomScale="80" zoomScaleNormal="80" workbookViewId="0"/>
  </sheetViews>
  <sheetFormatPr defaultColWidth="8.77734375" defaultRowHeight="16.8" x14ac:dyDescent="0.4"/>
  <cols>
    <col min="1" max="1" width="8.77734375" style="15"/>
    <col min="2" max="2" width="0" style="15" hidden="1" customWidth="1"/>
    <col min="3" max="3" width="147.77734375" style="15" bestFit="1" customWidth="1"/>
    <col min="4" max="16384" width="8.77734375" style="15"/>
  </cols>
  <sheetData>
    <row r="2" spans="2:3" ht="352.8" x14ac:dyDescent="0.4">
      <c r="C2" s="248" t="s">
        <v>1942</v>
      </c>
    </row>
    <row r="3" spans="2:3" ht="84" x14ac:dyDescent="0.4">
      <c r="C3" s="249" t="s">
        <v>1939</v>
      </c>
    </row>
    <row r="4" spans="2:3" ht="117.6" x14ac:dyDescent="0.4">
      <c r="C4" s="249" t="s">
        <v>1944</v>
      </c>
    </row>
    <row r="5" spans="2:3" ht="50.4" x14ac:dyDescent="0.4">
      <c r="C5" s="250" t="s">
        <v>39</v>
      </c>
    </row>
    <row r="7" spans="2:3" x14ac:dyDescent="0.4">
      <c r="C7" s="245" t="s">
        <v>40</v>
      </c>
    </row>
    <row r="8" spans="2:3" x14ac:dyDescent="0.4">
      <c r="C8" s="247" t="s">
        <v>41</v>
      </c>
    </row>
    <row r="10" spans="2:3" x14ac:dyDescent="0.4">
      <c r="C10" s="245" t="s">
        <v>42</v>
      </c>
    </row>
    <row r="11" spans="2:3" x14ac:dyDescent="0.4">
      <c r="B11" s="15">
        <v>99.9</v>
      </c>
      <c r="C11" s="246" t="s">
        <v>1943</v>
      </c>
    </row>
  </sheetData>
  <sheetProtection algorithmName="SHA-512" hashValue="IF4y1IRNgrElRBb9TXDhJJgBb6oGAaL2s8IYJztPCzu0d7N0XdmzMBpClsZ3OobJx5TVatpuLilY3VXnP25I4Q==" saltValue="k2wE/Q+oa2+pCFXZtksdZA==" spinCount="100000" sheet="1" objects="1" scenarios="1"/>
  <hyperlinks>
    <hyperlink ref="C8" r:id="rId1" xr:uid="{AEF06631-3898-427B-BD9C-1EEDEDE66CEA}"/>
  </hyperlinks>
  <pageMargins left="0.7" right="0.7" top="0.75" bottom="0.75" header="0.3" footer="0.3"/>
  <pageSetup orientation="portrait"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848D22-573D-4C9D-96F2-ACBA009F95F0}">
  <sheetPr codeName="Sheet13">
    <tabColor theme="9" tint="0.59999389629810485"/>
  </sheetPr>
  <dimension ref="C1:AO129"/>
  <sheetViews>
    <sheetView zoomScale="80" zoomScaleNormal="80" workbookViewId="0"/>
  </sheetViews>
  <sheetFormatPr defaultColWidth="9" defaultRowHeight="16.8" x14ac:dyDescent="0.4"/>
  <cols>
    <col min="1" max="1" width="9" style="15"/>
    <col min="2" max="2" width="0" style="15" hidden="1" customWidth="1"/>
    <col min="3" max="3" width="13.44140625" style="15" hidden="1" customWidth="1"/>
    <col min="4" max="5" width="28.21875" style="15" customWidth="1"/>
    <col min="6" max="6" width="23.5546875" style="15" customWidth="1"/>
    <col min="7" max="7" width="18.21875" style="15" customWidth="1"/>
    <col min="8" max="8" width="17.21875" style="15" customWidth="1"/>
    <col min="9" max="9" width="15.21875" style="15" customWidth="1"/>
    <col min="10" max="10" width="14.77734375" style="15" customWidth="1"/>
    <col min="11" max="11" width="17.21875" style="15" customWidth="1"/>
    <col min="12" max="27" width="9" style="15" customWidth="1"/>
    <col min="28" max="37" width="9" style="15" hidden="1" customWidth="1"/>
    <col min="38" max="40" width="9" style="15" customWidth="1"/>
    <col min="41" max="16384" width="9" style="15"/>
  </cols>
  <sheetData>
    <row r="1" spans="3:41" x14ac:dyDescent="0.4">
      <c r="V1" s="20"/>
      <c r="W1" s="20"/>
      <c r="X1" s="20"/>
      <c r="Y1" s="20"/>
      <c r="Z1" s="20"/>
      <c r="AA1" s="20"/>
      <c r="AB1" s="20"/>
      <c r="AC1" s="20"/>
    </row>
    <row r="2" spans="3:41" x14ac:dyDescent="0.4">
      <c r="D2" s="18" t="s">
        <v>1926</v>
      </c>
      <c r="AB2" s="18" t="s">
        <v>134</v>
      </c>
      <c r="AH2" s="18" t="s">
        <v>76</v>
      </c>
    </row>
    <row r="3" spans="3:41" hidden="1" x14ac:dyDescent="0.4">
      <c r="C3" s="15">
        <v>8.1</v>
      </c>
      <c r="D3" s="15">
        <v>8.1999999999999993</v>
      </c>
      <c r="E3" s="15">
        <v>8.3000000000000007</v>
      </c>
      <c r="F3" s="15">
        <v>8.4</v>
      </c>
      <c r="G3" s="15">
        <v>8.5</v>
      </c>
      <c r="H3" s="15">
        <v>8.6</v>
      </c>
      <c r="I3" s="15">
        <v>8.6999999999999993</v>
      </c>
      <c r="J3" s="15">
        <v>8.8000000000000007</v>
      </c>
      <c r="K3" s="15">
        <v>8.9</v>
      </c>
      <c r="AI3" s="20"/>
    </row>
    <row r="4" spans="3:41" ht="37.5" customHeight="1" x14ac:dyDescent="0.4">
      <c r="C4" s="63" t="s">
        <v>44</v>
      </c>
      <c r="D4" s="58" t="s">
        <v>77</v>
      </c>
      <c r="E4" s="58" t="s">
        <v>136</v>
      </c>
      <c r="F4" s="92" t="s">
        <v>79</v>
      </c>
      <c r="G4" s="59" t="s">
        <v>80</v>
      </c>
      <c r="H4" s="92" t="s">
        <v>81</v>
      </c>
      <c r="I4" s="92" t="s">
        <v>82</v>
      </c>
      <c r="J4" s="92" t="s">
        <v>83</v>
      </c>
      <c r="K4" s="60" t="s">
        <v>56</v>
      </c>
      <c r="L4" s="62"/>
      <c r="S4" s="62"/>
      <c r="AB4" s="15" t="s">
        <v>137</v>
      </c>
      <c r="AC4" s="15" t="s">
        <v>85</v>
      </c>
      <c r="AD4" s="15" t="s">
        <v>86</v>
      </c>
      <c r="AE4" s="15" t="s">
        <v>87</v>
      </c>
      <c r="AF4" s="15" t="s">
        <v>56</v>
      </c>
      <c r="AH4" s="81" t="s">
        <v>88</v>
      </c>
      <c r="AI4" s="15" t="s">
        <v>89</v>
      </c>
      <c r="AJ4" s="15" t="s">
        <v>90</v>
      </c>
      <c r="AK4" s="83" t="s">
        <v>92</v>
      </c>
    </row>
    <row r="5" spans="3:41" x14ac:dyDescent="0.4">
      <c r="C5" s="67" t="str">
        <f>IF('Site and production details'!C5= 0, "", 'Site and production details'!C5)</f>
        <v/>
      </c>
      <c r="D5" s="153"/>
      <c r="E5" s="232" t="s">
        <v>93</v>
      </c>
      <c r="F5" s="190" t="s">
        <v>94</v>
      </c>
      <c r="G5" s="147" t="s">
        <v>95</v>
      </c>
      <c r="H5" s="318" t="s">
        <v>96</v>
      </c>
      <c r="I5" s="190"/>
      <c r="J5" s="190"/>
      <c r="K5" s="172"/>
      <c r="AB5" s="15" t="s">
        <v>185</v>
      </c>
      <c r="AE5" s="15" t="s">
        <v>98</v>
      </c>
      <c r="AH5" s="15" t="s">
        <v>101</v>
      </c>
      <c r="AI5" s="15" t="s">
        <v>101</v>
      </c>
      <c r="AJ5" s="15" t="s">
        <v>101</v>
      </c>
      <c r="AK5" s="15" t="s">
        <v>102</v>
      </c>
    </row>
    <row r="6" spans="3:41" x14ac:dyDescent="0.4">
      <c r="C6" s="67" t="str">
        <f>C5</f>
        <v/>
      </c>
      <c r="D6" s="153"/>
      <c r="E6" s="233" t="str">
        <f>IF(E5 = "Select", "", E5)</f>
        <v/>
      </c>
      <c r="F6" s="31" t="s">
        <v>94</v>
      </c>
      <c r="G6" s="67" t="s">
        <v>103</v>
      </c>
      <c r="H6" s="319" t="s">
        <v>104</v>
      </c>
      <c r="I6" s="31"/>
      <c r="J6" s="31"/>
      <c r="K6" s="173"/>
      <c r="AB6" s="15" t="s">
        <v>185</v>
      </c>
      <c r="AE6" s="15" t="s">
        <v>105</v>
      </c>
      <c r="AH6" s="15" t="s">
        <v>101</v>
      </c>
      <c r="AI6" s="15" t="s">
        <v>101</v>
      </c>
      <c r="AJ6" s="15" t="s">
        <v>100</v>
      </c>
      <c r="AK6" s="15" t="s">
        <v>102</v>
      </c>
      <c r="AL6" s="20"/>
    </row>
    <row r="7" spans="3:41" x14ac:dyDescent="0.4">
      <c r="C7" s="67" t="str">
        <f t="shared" ref="C7:C40" si="0">C6</f>
        <v/>
      </c>
      <c r="D7" s="153"/>
      <c r="E7" s="233" t="str">
        <f t="shared" ref="E7:E16" si="1">IF(E6 = "Select", "", E6)</f>
        <v/>
      </c>
      <c r="F7" s="31" t="s">
        <v>94</v>
      </c>
      <c r="G7" s="67" t="s">
        <v>109</v>
      </c>
      <c r="H7" s="319">
        <v>150</v>
      </c>
      <c r="I7" s="31"/>
      <c r="J7" s="31"/>
      <c r="K7" s="173"/>
      <c r="AB7" s="15" t="s">
        <v>185</v>
      </c>
      <c r="AE7" s="15" t="s">
        <v>108</v>
      </c>
      <c r="AH7" s="15" t="s">
        <v>101</v>
      </c>
      <c r="AI7" s="15" t="s">
        <v>101</v>
      </c>
      <c r="AJ7" s="15" t="s">
        <v>108</v>
      </c>
      <c r="AK7" s="15" t="s">
        <v>102</v>
      </c>
      <c r="AL7" s="20"/>
    </row>
    <row r="8" spans="3:41" x14ac:dyDescent="0.4">
      <c r="C8" s="67" t="str">
        <f t="shared" si="0"/>
        <v/>
      </c>
      <c r="D8" s="153"/>
      <c r="E8" s="233" t="str">
        <f t="shared" si="1"/>
        <v/>
      </c>
      <c r="F8" s="190" t="s">
        <v>116</v>
      </c>
      <c r="G8" s="147" t="s">
        <v>95</v>
      </c>
      <c r="H8" s="318" t="s">
        <v>96</v>
      </c>
      <c r="I8" s="190"/>
      <c r="J8" s="190"/>
      <c r="K8" s="172"/>
      <c r="AB8" s="15" t="s">
        <v>185</v>
      </c>
      <c r="AE8" s="15" t="s">
        <v>100</v>
      </c>
      <c r="AH8" s="15" t="s">
        <v>101</v>
      </c>
      <c r="AI8" s="15" t="s">
        <v>101</v>
      </c>
      <c r="AJ8" s="15" t="s">
        <v>105</v>
      </c>
      <c r="AK8" s="15" t="s">
        <v>102</v>
      </c>
      <c r="AL8" s="20"/>
    </row>
    <row r="9" spans="3:41" x14ac:dyDescent="0.4">
      <c r="C9" s="67" t="str">
        <f t="shared" si="0"/>
        <v/>
      </c>
      <c r="D9" s="153"/>
      <c r="E9" s="233" t="str">
        <f t="shared" si="1"/>
        <v/>
      </c>
      <c r="F9" s="31" t="s">
        <v>116</v>
      </c>
      <c r="G9" s="67" t="s">
        <v>103</v>
      </c>
      <c r="H9" s="319" t="s">
        <v>104</v>
      </c>
      <c r="I9" s="31"/>
      <c r="J9" s="31"/>
      <c r="K9" s="173"/>
      <c r="AB9" s="15" t="s">
        <v>185</v>
      </c>
      <c r="AE9" s="15" t="s">
        <v>101</v>
      </c>
      <c r="AF9" s="15" t="s">
        <v>141</v>
      </c>
      <c r="AH9" s="15" t="s">
        <v>101</v>
      </c>
      <c r="AI9" s="15" t="s">
        <v>101</v>
      </c>
      <c r="AJ9" s="15" t="s">
        <v>98</v>
      </c>
      <c r="AK9" s="15" t="s">
        <v>102</v>
      </c>
      <c r="AN9" s="20"/>
      <c r="AO9" s="20"/>
    </row>
    <row r="10" spans="3:41" x14ac:dyDescent="0.4">
      <c r="C10" s="67" t="str">
        <f t="shared" si="0"/>
        <v/>
      </c>
      <c r="D10" s="153"/>
      <c r="E10" s="233" t="str">
        <f t="shared" si="1"/>
        <v/>
      </c>
      <c r="F10" s="31" t="s">
        <v>116</v>
      </c>
      <c r="G10" s="67" t="s">
        <v>109</v>
      </c>
      <c r="H10" s="319">
        <v>150</v>
      </c>
      <c r="I10" s="31"/>
      <c r="J10" s="31"/>
      <c r="K10" s="173"/>
      <c r="Y10" s="20"/>
      <c r="Z10" s="20"/>
      <c r="AA10" s="20"/>
      <c r="AB10" s="15" t="s">
        <v>97</v>
      </c>
      <c r="AE10" s="15" t="s">
        <v>98</v>
      </c>
      <c r="AF10" s="15" t="s">
        <v>141</v>
      </c>
      <c r="AH10" s="15" t="s">
        <v>101</v>
      </c>
      <c r="AI10" s="15" t="s">
        <v>100</v>
      </c>
      <c r="AJ10" s="15" t="s">
        <v>101</v>
      </c>
      <c r="AK10" s="15" t="s">
        <v>102</v>
      </c>
      <c r="AN10" s="20"/>
      <c r="AO10" s="20"/>
    </row>
    <row r="11" spans="3:41" x14ac:dyDescent="0.4">
      <c r="C11" s="67" t="str">
        <f t="shared" si="0"/>
        <v/>
      </c>
      <c r="D11" s="153"/>
      <c r="E11" s="233" t="str">
        <f t="shared" si="1"/>
        <v/>
      </c>
      <c r="F11" s="190" t="s">
        <v>117</v>
      </c>
      <c r="G11" s="147" t="s">
        <v>95</v>
      </c>
      <c r="H11" s="318" t="s">
        <v>96</v>
      </c>
      <c r="I11" s="190"/>
      <c r="J11" s="190"/>
      <c r="K11" s="172"/>
      <c r="AB11" s="15" t="s">
        <v>97</v>
      </c>
      <c r="AE11" s="15" t="s">
        <v>105</v>
      </c>
      <c r="AF11" s="15" t="s">
        <v>141</v>
      </c>
      <c r="AH11" s="15" t="s">
        <v>101</v>
      </c>
      <c r="AI11" s="15" t="s">
        <v>100</v>
      </c>
      <c r="AJ11" s="15" t="s">
        <v>100</v>
      </c>
      <c r="AK11" s="15" t="s">
        <v>102</v>
      </c>
      <c r="AN11" s="20"/>
      <c r="AO11" s="20"/>
    </row>
    <row r="12" spans="3:41" x14ac:dyDescent="0.4">
      <c r="C12" s="67" t="str">
        <f t="shared" si="0"/>
        <v/>
      </c>
      <c r="D12" s="153"/>
      <c r="E12" s="233" t="str">
        <f t="shared" si="1"/>
        <v/>
      </c>
      <c r="F12" s="31" t="s">
        <v>117</v>
      </c>
      <c r="G12" s="67" t="s">
        <v>103</v>
      </c>
      <c r="H12" s="319" t="s">
        <v>104</v>
      </c>
      <c r="I12" s="31"/>
      <c r="J12" s="31"/>
      <c r="K12" s="173"/>
      <c r="AB12" s="15" t="s">
        <v>97</v>
      </c>
      <c r="AE12" s="15" t="s">
        <v>108</v>
      </c>
      <c r="AH12" s="15" t="s">
        <v>101</v>
      </c>
      <c r="AI12" s="15" t="s">
        <v>100</v>
      </c>
      <c r="AJ12" s="15" t="s">
        <v>108</v>
      </c>
      <c r="AK12" s="15" t="s">
        <v>102</v>
      </c>
      <c r="AN12" s="20"/>
      <c r="AO12" s="20"/>
    </row>
    <row r="13" spans="3:41" x14ac:dyDescent="0.4">
      <c r="C13" s="67" t="str">
        <f t="shared" si="0"/>
        <v/>
      </c>
      <c r="D13" s="153"/>
      <c r="E13" s="233" t="str">
        <f t="shared" si="1"/>
        <v/>
      </c>
      <c r="F13" s="31" t="s">
        <v>117</v>
      </c>
      <c r="G13" s="67" t="s">
        <v>109</v>
      </c>
      <c r="H13" s="319">
        <v>150</v>
      </c>
      <c r="I13" s="31"/>
      <c r="J13" s="31"/>
      <c r="K13" s="173"/>
      <c r="Y13" s="20"/>
      <c r="Z13" s="20"/>
      <c r="AA13" s="20"/>
      <c r="AB13" s="15" t="s">
        <v>97</v>
      </c>
      <c r="AE13" s="15" t="s">
        <v>100</v>
      </c>
      <c r="AH13" s="15" t="s">
        <v>101</v>
      </c>
      <c r="AI13" s="15" t="s">
        <v>100</v>
      </c>
      <c r="AJ13" s="15" t="s">
        <v>105</v>
      </c>
      <c r="AK13" s="15" t="s">
        <v>102</v>
      </c>
    </row>
    <row r="14" spans="3:41" x14ac:dyDescent="0.4">
      <c r="C14" s="67" t="str">
        <f t="shared" si="0"/>
        <v/>
      </c>
      <c r="D14" s="153"/>
      <c r="E14" s="233" t="str">
        <f t="shared" si="1"/>
        <v/>
      </c>
      <c r="F14" s="190" t="s">
        <v>122</v>
      </c>
      <c r="G14" s="147" t="s">
        <v>95</v>
      </c>
      <c r="H14" s="318" t="s">
        <v>96</v>
      </c>
      <c r="I14" s="190"/>
      <c r="J14" s="190"/>
      <c r="K14" s="172"/>
      <c r="AB14" s="15" t="s">
        <v>97</v>
      </c>
      <c r="AE14" s="15" t="s">
        <v>101</v>
      </c>
      <c r="AF14" s="15" t="s">
        <v>111</v>
      </c>
      <c r="AH14" s="15" t="s">
        <v>101</v>
      </c>
      <c r="AI14" s="15" t="s">
        <v>100</v>
      </c>
      <c r="AJ14" s="15" t="s">
        <v>98</v>
      </c>
      <c r="AK14" s="15" t="s">
        <v>102</v>
      </c>
    </row>
    <row r="15" spans="3:41" x14ac:dyDescent="0.4">
      <c r="C15" s="67" t="str">
        <f t="shared" si="0"/>
        <v/>
      </c>
      <c r="D15" s="153"/>
      <c r="E15" s="233" t="str">
        <f t="shared" si="1"/>
        <v/>
      </c>
      <c r="F15" s="31" t="s">
        <v>122</v>
      </c>
      <c r="G15" s="67" t="s">
        <v>103</v>
      </c>
      <c r="H15" s="319" t="s">
        <v>104</v>
      </c>
      <c r="I15" s="31"/>
      <c r="J15" s="31"/>
      <c r="K15" s="173"/>
      <c r="AB15" s="15" t="s">
        <v>140</v>
      </c>
      <c r="AC15" s="158">
        <v>80.000010000000003</v>
      </c>
      <c r="AD15" s="158">
        <v>10000000</v>
      </c>
      <c r="AE15" s="15" t="s">
        <v>98</v>
      </c>
      <c r="AF15" s="15" t="s">
        <v>141</v>
      </c>
      <c r="AH15" s="15" t="s">
        <v>101</v>
      </c>
      <c r="AI15" s="15" t="s">
        <v>108</v>
      </c>
      <c r="AJ15" s="15" t="s">
        <v>101</v>
      </c>
      <c r="AK15" s="15" t="s">
        <v>102</v>
      </c>
    </row>
    <row r="16" spans="3:41" x14ac:dyDescent="0.4">
      <c r="C16" s="67" t="str">
        <f t="shared" si="0"/>
        <v/>
      </c>
      <c r="D16" s="153"/>
      <c r="E16" s="233" t="str">
        <f t="shared" si="1"/>
        <v/>
      </c>
      <c r="F16" s="31" t="s">
        <v>122</v>
      </c>
      <c r="G16" s="67" t="s">
        <v>109</v>
      </c>
      <c r="H16" s="319">
        <v>150</v>
      </c>
      <c r="I16" s="31"/>
      <c r="J16" s="31"/>
      <c r="K16" s="173"/>
      <c r="O16" s="68"/>
      <c r="AB16" s="15" t="s">
        <v>140</v>
      </c>
      <c r="AC16" s="158">
        <v>50</v>
      </c>
      <c r="AD16" s="158">
        <v>80.000010000000003</v>
      </c>
      <c r="AE16" s="15" t="s">
        <v>105</v>
      </c>
      <c r="AH16" s="15" t="s">
        <v>101</v>
      </c>
      <c r="AI16" s="15" t="s">
        <v>108</v>
      </c>
      <c r="AJ16" s="15" t="s">
        <v>100</v>
      </c>
      <c r="AK16" s="15" t="s">
        <v>102</v>
      </c>
    </row>
    <row r="17" spans="3:37" x14ac:dyDescent="0.4">
      <c r="C17" s="67" t="str">
        <f t="shared" si="0"/>
        <v/>
      </c>
      <c r="D17" s="153"/>
      <c r="E17" s="232" t="s">
        <v>93</v>
      </c>
      <c r="F17" s="190" t="s">
        <v>94</v>
      </c>
      <c r="G17" s="147" t="s">
        <v>95</v>
      </c>
      <c r="H17" s="318" t="str">
        <f>H5</f>
        <v>0-30</v>
      </c>
      <c r="I17" s="190"/>
      <c r="J17" s="190"/>
      <c r="K17" s="172"/>
      <c r="AB17" s="15" t="s">
        <v>140</v>
      </c>
      <c r="AC17" s="158">
        <v>35</v>
      </c>
      <c r="AD17" s="158">
        <v>50</v>
      </c>
      <c r="AE17" s="15" t="s">
        <v>108</v>
      </c>
      <c r="AH17" s="15" t="s">
        <v>101</v>
      </c>
      <c r="AI17" s="15" t="s">
        <v>108</v>
      </c>
      <c r="AJ17" s="15" t="s">
        <v>108</v>
      </c>
      <c r="AK17" s="15" t="s">
        <v>102</v>
      </c>
    </row>
    <row r="18" spans="3:37" x14ac:dyDescent="0.4">
      <c r="C18" s="67" t="str">
        <f t="shared" si="0"/>
        <v/>
      </c>
      <c r="D18" s="153"/>
      <c r="E18" s="233" t="str">
        <f>IF(E17 = "Select", "", E17)</f>
        <v/>
      </c>
      <c r="F18" s="31" t="s">
        <v>94</v>
      </c>
      <c r="G18" s="67" t="s">
        <v>103</v>
      </c>
      <c r="H18" s="319" t="str">
        <f t="shared" ref="H18:H40" si="2">H6</f>
        <v>31-100</v>
      </c>
      <c r="I18" s="31"/>
      <c r="J18" s="31"/>
      <c r="K18" s="173"/>
      <c r="AB18" s="15" t="s">
        <v>140</v>
      </c>
      <c r="AC18" s="158">
        <v>15</v>
      </c>
      <c r="AD18" s="158">
        <v>35</v>
      </c>
      <c r="AE18" s="15" t="s">
        <v>100</v>
      </c>
      <c r="AH18" s="15" t="s">
        <v>101</v>
      </c>
      <c r="AI18" s="15" t="s">
        <v>108</v>
      </c>
      <c r="AJ18" s="15" t="s">
        <v>105</v>
      </c>
      <c r="AK18" s="15" t="s">
        <v>102</v>
      </c>
    </row>
    <row r="19" spans="3:37" x14ac:dyDescent="0.4">
      <c r="C19" s="67" t="str">
        <f t="shared" si="0"/>
        <v/>
      </c>
      <c r="D19" s="153"/>
      <c r="E19" s="233" t="str">
        <f>IF(E17 = "Select", "", E17)</f>
        <v/>
      </c>
      <c r="F19" s="191" t="s">
        <v>94</v>
      </c>
      <c r="G19" s="148" t="s">
        <v>109</v>
      </c>
      <c r="H19" s="320">
        <f t="shared" si="2"/>
        <v>150</v>
      </c>
      <c r="I19" s="191"/>
      <c r="J19" s="191"/>
      <c r="K19" s="174"/>
      <c r="AB19" s="15" t="s">
        <v>140</v>
      </c>
      <c r="AC19" s="158">
        <v>0</v>
      </c>
      <c r="AD19" s="158">
        <v>15</v>
      </c>
      <c r="AE19" s="15" t="s">
        <v>101</v>
      </c>
      <c r="AF19" s="15" t="s">
        <v>111</v>
      </c>
      <c r="AH19" s="15" t="s">
        <v>101</v>
      </c>
      <c r="AI19" s="15" t="s">
        <v>108</v>
      </c>
      <c r="AJ19" s="15" t="s">
        <v>98</v>
      </c>
      <c r="AK19" s="15" t="s">
        <v>102</v>
      </c>
    </row>
    <row r="20" spans="3:37" x14ac:dyDescent="0.4">
      <c r="C20" s="67" t="str">
        <f t="shared" si="0"/>
        <v/>
      </c>
      <c r="D20" s="153"/>
      <c r="E20" s="233" t="str">
        <f>IF(E17 = "Select", "", E17)</f>
        <v/>
      </c>
      <c r="F20" s="190" t="s">
        <v>116</v>
      </c>
      <c r="G20" s="147" t="s">
        <v>95</v>
      </c>
      <c r="H20" s="318" t="str">
        <f t="shared" si="2"/>
        <v>0-30</v>
      </c>
      <c r="I20" s="190"/>
      <c r="J20" s="190"/>
      <c r="K20" s="172"/>
      <c r="AB20" s="15" t="s">
        <v>142</v>
      </c>
      <c r="AC20" s="158">
        <v>0</v>
      </c>
      <c r="AD20" s="158">
        <v>20</v>
      </c>
      <c r="AE20" s="15" t="s">
        <v>98</v>
      </c>
      <c r="AF20" s="15" t="s">
        <v>111</v>
      </c>
      <c r="AH20" s="15" t="s">
        <v>101</v>
      </c>
      <c r="AI20" s="15" t="s">
        <v>105</v>
      </c>
      <c r="AJ20" s="15" t="s">
        <v>101</v>
      </c>
      <c r="AK20" s="15" t="s">
        <v>102</v>
      </c>
    </row>
    <row r="21" spans="3:37" x14ac:dyDescent="0.4">
      <c r="C21" s="67" t="str">
        <f t="shared" si="0"/>
        <v/>
      </c>
      <c r="D21" s="153"/>
      <c r="E21" s="233" t="str">
        <f>IF(E17 = "Select", "", E17)</f>
        <v/>
      </c>
      <c r="F21" s="31" t="s">
        <v>116</v>
      </c>
      <c r="G21" s="67" t="s">
        <v>103</v>
      </c>
      <c r="H21" s="319" t="str">
        <f t="shared" si="2"/>
        <v>31-100</v>
      </c>
      <c r="I21" s="31"/>
      <c r="J21" s="31"/>
      <c r="K21" s="173"/>
      <c r="AB21" s="15" t="s">
        <v>142</v>
      </c>
      <c r="AC21" s="158">
        <v>20</v>
      </c>
      <c r="AD21" s="158">
        <v>40.000010000000003</v>
      </c>
      <c r="AE21" s="15" t="s">
        <v>105</v>
      </c>
      <c r="AH21" s="15" t="s">
        <v>101</v>
      </c>
      <c r="AI21" s="15" t="s">
        <v>105</v>
      </c>
      <c r="AJ21" s="15" t="s">
        <v>100</v>
      </c>
      <c r="AK21" s="15" t="s">
        <v>102</v>
      </c>
    </row>
    <row r="22" spans="3:37" x14ac:dyDescent="0.4">
      <c r="C22" s="67" t="str">
        <f t="shared" si="0"/>
        <v/>
      </c>
      <c r="D22" s="153"/>
      <c r="E22" s="233" t="str">
        <f>IF(E17 = "Select", "", E17)</f>
        <v/>
      </c>
      <c r="F22" s="191" t="s">
        <v>116</v>
      </c>
      <c r="G22" s="148" t="s">
        <v>109</v>
      </c>
      <c r="H22" s="320">
        <f t="shared" si="2"/>
        <v>150</v>
      </c>
      <c r="I22" s="191"/>
      <c r="J22" s="191"/>
      <c r="K22" s="174"/>
      <c r="AB22" s="15" t="s">
        <v>142</v>
      </c>
      <c r="AC22" s="158">
        <v>40.000010000000003</v>
      </c>
      <c r="AD22" s="158">
        <v>60.000010000000003</v>
      </c>
      <c r="AE22" s="15" t="s">
        <v>108</v>
      </c>
      <c r="AH22" s="15" t="s">
        <v>101</v>
      </c>
      <c r="AI22" s="15" t="s">
        <v>105</v>
      </c>
      <c r="AJ22" s="15" t="s">
        <v>108</v>
      </c>
      <c r="AK22" s="15" t="s">
        <v>102</v>
      </c>
    </row>
    <row r="23" spans="3:37" x14ac:dyDescent="0.4">
      <c r="C23" s="67" t="str">
        <f t="shared" si="0"/>
        <v/>
      </c>
      <c r="D23" s="153"/>
      <c r="E23" s="233" t="str">
        <f>IF(E17 = "Select", "", E17)</f>
        <v/>
      </c>
      <c r="F23" s="190" t="s">
        <v>117</v>
      </c>
      <c r="G23" s="147" t="s">
        <v>95</v>
      </c>
      <c r="H23" s="318" t="str">
        <f t="shared" si="2"/>
        <v>0-30</v>
      </c>
      <c r="I23" s="190"/>
      <c r="J23" s="190"/>
      <c r="K23" s="172"/>
      <c r="AB23" s="15" t="s">
        <v>142</v>
      </c>
      <c r="AC23" s="158">
        <v>60.000010000000003</v>
      </c>
      <c r="AD23" s="158">
        <v>80.000010000000003</v>
      </c>
      <c r="AE23" s="15" t="s">
        <v>100</v>
      </c>
      <c r="AH23" s="15" t="s">
        <v>101</v>
      </c>
      <c r="AI23" s="15" t="s">
        <v>105</v>
      </c>
      <c r="AJ23" s="15" t="s">
        <v>105</v>
      </c>
      <c r="AK23" s="15" t="s">
        <v>102</v>
      </c>
    </row>
    <row r="24" spans="3:37" x14ac:dyDescent="0.4">
      <c r="C24" s="67" t="str">
        <f t="shared" si="0"/>
        <v/>
      </c>
      <c r="D24" s="153"/>
      <c r="E24" s="233" t="str">
        <f>IF(E17 = "Select", "", E17)</f>
        <v/>
      </c>
      <c r="F24" s="31" t="s">
        <v>117</v>
      </c>
      <c r="G24" s="67" t="s">
        <v>103</v>
      </c>
      <c r="H24" s="319" t="str">
        <f t="shared" si="2"/>
        <v>31-100</v>
      </c>
      <c r="I24" s="31"/>
      <c r="J24" s="31"/>
      <c r="K24" s="173"/>
      <c r="AB24" s="15" t="s">
        <v>142</v>
      </c>
      <c r="AC24" s="158">
        <v>80.000010000000003</v>
      </c>
      <c r="AD24" s="158">
        <v>10000000</v>
      </c>
      <c r="AE24" s="15" t="s">
        <v>101</v>
      </c>
      <c r="AF24" s="15" t="s">
        <v>141</v>
      </c>
      <c r="AH24" s="15" t="s">
        <v>101</v>
      </c>
      <c r="AI24" s="15" t="s">
        <v>105</v>
      </c>
      <c r="AJ24" s="15" t="s">
        <v>98</v>
      </c>
      <c r="AK24" s="15" t="s">
        <v>102</v>
      </c>
    </row>
    <row r="25" spans="3:37" x14ac:dyDescent="0.4">
      <c r="C25" s="67" t="str">
        <f t="shared" si="0"/>
        <v/>
      </c>
      <c r="D25" s="153"/>
      <c r="E25" s="233" t="str">
        <f>IF(E17 = "Select", "", E17)</f>
        <v/>
      </c>
      <c r="F25" s="191" t="s">
        <v>117</v>
      </c>
      <c r="G25" s="148" t="s">
        <v>109</v>
      </c>
      <c r="H25" s="320">
        <f t="shared" si="2"/>
        <v>150</v>
      </c>
      <c r="I25" s="191"/>
      <c r="J25" s="191"/>
      <c r="K25" s="174"/>
      <c r="AB25" s="15" t="s">
        <v>143</v>
      </c>
      <c r="AC25" s="158">
        <v>0</v>
      </c>
      <c r="AD25" s="158">
        <v>3.1E-2</v>
      </c>
      <c r="AE25" s="15" t="s">
        <v>98</v>
      </c>
      <c r="AH25" s="15" t="s">
        <v>101</v>
      </c>
      <c r="AI25" s="15" t="s">
        <v>98</v>
      </c>
      <c r="AJ25" s="15" t="s">
        <v>101</v>
      </c>
      <c r="AK25" s="15" t="s">
        <v>102</v>
      </c>
    </row>
    <row r="26" spans="3:37" x14ac:dyDescent="0.4">
      <c r="C26" s="67" t="str">
        <f t="shared" si="0"/>
        <v/>
      </c>
      <c r="D26" s="153"/>
      <c r="E26" s="233" t="str">
        <f>IF(E17 = "Select", "", E17)</f>
        <v/>
      </c>
      <c r="F26" s="190" t="s">
        <v>122</v>
      </c>
      <c r="G26" s="147" t="s">
        <v>95</v>
      </c>
      <c r="H26" s="318" t="str">
        <f t="shared" si="2"/>
        <v>0-30</v>
      </c>
      <c r="I26" s="190"/>
      <c r="J26" s="190"/>
      <c r="K26" s="172"/>
      <c r="AB26" s="15" t="s">
        <v>143</v>
      </c>
      <c r="AC26" s="158">
        <v>3.1E-2</v>
      </c>
      <c r="AD26" s="158">
        <v>0.12600001</v>
      </c>
      <c r="AE26" s="15" t="s">
        <v>105</v>
      </c>
      <c r="AH26" s="15" t="s">
        <v>101</v>
      </c>
      <c r="AI26" s="15" t="s">
        <v>98</v>
      </c>
      <c r="AJ26" s="15" t="s">
        <v>100</v>
      </c>
      <c r="AK26" s="15" t="s">
        <v>102</v>
      </c>
    </row>
    <row r="27" spans="3:37" x14ac:dyDescent="0.4">
      <c r="C27" s="67" t="str">
        <f t="shared" si="0"/>
        <v/>
      </c>
      <c r="D27" s="153"/>
      <c r="E27" s="233" t="str">
        <f>IF(E17 = "Select", "", E17)</f>
        <v/>
      </c>
      <c r="F27" s="31" t="s">
        <v>122</v>
      </c>
      <c r="G27" s="67" t="s">
        <v>103</v>
      </c>
      <c r="H27" s="319" t="str">
        <f t="shared" si="2"/>
        <v>31-100</v>
      </c>
      <c r="I27" s="31"/>
      <c r="J27" s="31"/>
      <c r="K27" s="173"/>
      <c r="AB27" s="15" t="s">
        <v>143</v>
      </c>
      <c r="AC27" s="158">
        <v>0.12600001</v>
      </c>
      <c r="AD27" s="158">
        <v>0.18700000999999999</v>
      </c>
      <c r="AE27" s="15" t="s">
        <v>108</v>
      </c>
      <c r="AH27" s="15" t="s">
        <v>101</v>
      </c>
      <c r="AI27" s="15" t="s">
        <v>98</v>
      </c>
      <c r="AJ27" s="15" t="s">
        <v>108</v>
      </c>
      <c r="AK27" s="15" t="s">
        <v>102</v>
      </c>
    </row>
    <row r="28" spans="3:37" x14ac:dyDescent="0.4">
      <c r="C28" s="67" t="str">
        <f t="shared" si="0"/>
        <v/>
      </c>
      <c r="D28" s="153"/>
      <c r="E28" s="233" t="str">
        <f>IF(E17 = "Select", "", E17)</f>
        <v/>
      </c>
      <c r="F28" s="191" t="s">
        <v>122</v>
      </c>
      <c r="G28" s="148" t="s">
        <v>109</v>
      </c>
      <c r="H28" s="320">
        <f t="shared" si="2"/>
        <v>150</v>
      </c>
      <c r="I28" s="191"/>
      <c r="J28" s="191"/>
      <c r="K28" s="174"/>
      <c r="AB28" s="15" t="s">
        <v>143</v>
      </c>
      <c r="AC28" s="158">
        <v>0.18700000999999999</v>
      </c>
      <c r="AD28" s="158">
        <v>0.23700001000000001</v>
      </c>
      <c r="AE28" s="15" t="s">
        <v>100</v>
      </c>
      <c r="AH28" s="15" t="s">
        <v>101</v>
      </c>
      <c r="AI28" s="15" t="s">
        <v>98</v>
      </c>
      <c r="AJ28" s="15" t="s">
        <v>105</v>
      </c>
      <c r="AK28" s="15" t="s">
        <v>102</v>
      </c>
    </row>
    <row r="29" spans="3:37" x14ac:dyDescent="0.4">
      <c r="C29" s="67" t="str">
        <f t="shared" si="0"/>
        <v/>
      </c>
      <c r="D29" s="153"/>
      <c r="E29" s="232" t="s">
        <v>93</v>
      </c>
      <c r="F29" s="190" t="s">
        <v>94</v>
      </c>
      <c r="G29" s="147" t="s">
        <v>95</v>
      </c>
      <c r="H29" s="318" t="str">
        <f>H17</f>
        <v>0-30</v>
      </c>
      <c r="I29" s="190"/>
      <c r="J29" s="190"/>
      <c r="K29" s="172"/>
      <c r="AB29" s="15" t="s">
        <v>143</v>
      </c>
      <c r="AC29" s="158">
        <v>0.23700001000000001</v>
      </c>
      <c r="AD29" s="158">
        <v>10000000</v>
      </c>
      <c r="AE29" s="15" t="s">
        <v>101</v>
      </c>
      <c r="AF29" s="15" t="s">
        <v>141</v>
      </c>
      <c r="AH29" s="15" t="s">
        <v>101</v>
      </c>
      <c r="AI29" s="15" t="s">
        <v>98</v>
      </c>
      <c r="AJ29" s="15" t="s">
        <v>98</v>
      </c>
      <c r="AK29" s="15" t="s">
        <v>102</v>
      </c>
    </row>
    <row r="30" spans="3:37" x14ac:dyDescent="0.4">
      <c r="C30" s="67" t="str">
        <f t="shared" si="0"/>
        <v/>
      </c>
      <c r="D30" s="153"/>
      <c r="E30" s="233" t="str">
        <f>IF(E29 = "Select", "", E29)</f>
        <v/>
      </c>
      <c r="F30" s="31" t="s">
        <v>94</v>
      </c>
      <c r="G30" s="67" t="s">
        <v>103</v>
      </c>
      <c r="H30" s="319" t="str">
        <f t="shared" si="2"/>
        <v>31-100</v>
      </c>
      <c r="I30" s="31"/>
      <c r="J30" s="31"/>
      <c r="K30" s="173"/>
      <c r="AB30" s="15" t="s">
        <v>144</v>
      </c>
      <c r="AC30" s="158">
        <v>0</v>
      </c>
      <c r="AD30" s="158">
        <v>1.2</v>
      </c>
      <c r="AE30" s="15" t="s">
        <v>98</v>
      </c>
      <c r="AF30" s="15" t="s">
        <v>111</v>
      </c>
      <c r="AH30" s="15" t="s">
        <v>100</v>
      </c>
      <c r="AI30" s="15" t="s">
        <v>101</v>
      </c>
      <c r="AJ30" s="15" t="s">
        <v>101</v>
      </c>
      <c r="AK30" s="15" t="s">
        <v>102</v>
      </c>
    </row>
    <row r="31" spans="3:37" x14ac:dyDescent="0.4">
      <c r="C31" s="67" t="str">
        <f t="shared" si="0"/>
        <v/>
      </c>
      <c r="D31" s="153"/>
      <c r="E31" s="233" t="str">
        <f>IF(E29 = "Select", "", E29)</f>
        <v/>
      </c>
      <c r="F31" s="191" t="s">
        <v>94</v>
      </c>
      <c r="G31" s="148" t="s">
        <v>109</v>
      </c>
      <c r="H31" s="320">
        <f t="shared" si="2"/>
        <v>150</v>
      </c>
      <c r="I31" s="191"/>
      <c r="J31" s="191"/>
      <c r="K31" s="174"/>
      <c r="AB31" s="15" t="s">
        <v>144</v>
      </c>
      <c r="AC31" s="158">
        <v>1.2000010000000001</v>
      </c>
      <c r="AD31" s="158">
        <v>3.0000100000000001</v>
      </c>
      <c r="AE31" s="15" t="s">
        <v>105</v>
      </c>
      <c r="AH31" s="15" t="s">
        <v>100</v>
      </c>
      <c r="AI31" s="15" t="s">
        <v>101</v>
      </c>
      <c r="AJ31" s="15" t="s">
        <v>100</v>
      </c>
      <c r="AK31" s="15" t="s">
        <v>102</v>
      </c>
    </row>
    <row r="32" spans="3:37" x14ac:dyDescent="0.4">
      <c r="C32" s="67" t="str">
        <f t="shared" si="0"/>
        <v/>
      </c>
      <c r="D32" s="153"/>
      <c r="E32" s="233" t="str">
        <f>IF(E29 = "Select", "", E29)</f>
        <v/>
      </c>
      <c r="F32" s="190" t="s">
        <v>116</v>
      </c>
      <c r="G32" s="147" t="s">
        <v>95</v>
      </c>
      <c r="H32" s="318" t="str">
        <f t="shared" si="2"/>
        <v>0-30</v>
      </c>
      <c r="I32" s="190"/>
      <c r="J32" s="190"/>
      <c r="K32" s="172"/>
      <c r="AB32" s="15" t="s">
        <v>144</v>
      </c>
      <c r="AC32" s="158">
        <v>3.0000100000000001</v>
      </c>
      <c r="AD32" s="158">
        <v>3.9000010000000001</v>
      </c>
      <c r="AE32" s="15" t="s">
        <v>108</v>
      </c>
      <c r="AH32" s="15" t="s">
        <v>100</v>
      </c>
      <c r="AI32" s="15" t="s">
        <v>101</v>
      </c>
      <c r="AJ32" s="15" t="s">
        <v>108</v>
      </c>
      <c r="AK32" s="15" t="s">
        <v>102</v>
      </c>
    </row>
    <row r="33" spans="3:37" x14ac:dyDescent="0.4">
      <c r="C33" s="67" t="str">
        <f t="shared" si="0"/>
        <v/>
      </c>
      <c r="D33" s="153"/>
      <c r="E33" s="233" t="str">
        <f>IF(E29 = "Select", "", E29)</f>
        <v/>
      </c>
      <c r="F33" s="31" t="s">
        <v>116</v>
      </c>
      <c r="G33" s="67" t="s">
        <v>103</v>
      </c>
      <c r="H33" s="319" t="str">
        <f t="shared" si="2"/>
        <v>31-100</v>
      </c>
      <c r="I33" s="31"/>
      <c r="J33" s="31"/>
      <c r="K33" s="173"/>
      <c r="AB33" s="15" t="s">
        <v>144</v>
      </c>
      <c r="AC33" s="158">
        <v>3.9000010000000001</v>
      </c>
      <c r="AD33" s="158">
        <v>4.800001</v>
      </c>
      <c r="AE33" s="15" t="s">
        <v>100</v>
      </c>
      <c r="AH33" s="15" t="s">
        <v>100</v>
      </c>
      <c r="AI33" s="15" t="s">
        <v>101</v>
      </c>
      <c r="AJ33" s="15" t="s">
        <v>105</v>
      </c>
      <c r="AK33" s="15" t="s">
        <v>102</v>
      </c>
    </row>
    <row r="34" spans="3:37" x14ac:dyDescent="0.4">
      <c r="C34" s="67" t="str">
        <f t="shared" si="0"/>
        <v/>
      </c>
      <c r="D34" s="153"/>
      <c r="E34" s="233" t="str">
        <f>IF(E29 = "Select", "", E29)</f>
        <v/>
      </c>
      <c r="F34" s="191" t="s">
        <v>116</v>
      </c>
      <c r="G34" s="148" t="s">
        <v>109</v>
      </c>
      <c r="H34" s="320">
        <f t="shared" si="2"/>
        <v>150</v>
      </c>
      <c r="I34" s="191"/>
      <c r="J34" s="191"/>
      <c r="K34" s="174"/>
      <c r="AB34" s="15" t="s">
        <v>144</v>
      </c>
      <c r="AC34" s="158">
        <v>4.800001</v>
      </c>
      <c r="AD34" s="158">
        <v>10000000</v>
      </c>
      <c r="AE34" s="15" t="s">
        <v>101</v>
      </c>
      <c r="AF34" s="15" t="s">
        <v>141</v>
      </c>
      <c r="AH34" s="15" t="s">
        <v>100</v>
      </c>
      <c r="AI34" s="15" t="s">
        <v>101</v>
      </c>
      <c r="AJ34" s="15" t="s">
        <v>98</v>
      </c>
      <c r="AK34" s="15" t="s">
        <v>102</v>
      </c>
    </row>
    <row r="35" spans="3:37" x14ac:dyDescent="0.4">
      <c r="C35" s="67" t="str">
        <f t="shared" si="0"/>
        <v/>
      </c>
      <c r="D35" s="153"/>
      <c r="E35" s="233" t="str">
        <f>IF(E29 = "Select", "", E29)</f>
        <v/>
      </c>
      <c r="F35" s="190" t="s">
        <v>117</v>
      </c>
      <c r="G35" s="147" t="s">
        <v>95</v>
      </c>
      <c r="H35" s="318" t="str">
        <f t="shared" si="2"/>
        <v>0-30</v>
      </c>
      <c r="I35" s="190"/>
      <c r="J35" s="190"/>
      <c r="K35" s="172"/>
      <c r="AB35" s="15" t="s">
        <v>145</v>
      </c>
      <c r="AC35" s="158">
        <v>0.83000010000000002</v>
      </c>
      <c r="AD35" s="158">
        <v>10000000</v>
      </c>
      <c r="AE35" s="15" t="s">
        <v>98</v>
      </c>
      <c r="AF35" s="15" t="s">
        <v>141</v>
      </c>
      <c r="AH35" s="15" t="s">
        <v>100</v>
      </c>
      <c r="AI35" s="15" t="s">
        <v>100</v>
      </c>
      <c r="AJ35" s="15" t="s">
        <v>101</v>
      </c>
      <c r="AK35" s="15" t="s">
        <v>102</v>
      </c>
    </row>
    <row r="36" spans="3:37" x14ac:dyDescent="0.4">
      <c r="C36" s="67" t="str">
        <f t="shared" si="0"/>
        <v/>
      </c>
      <c r="D36" s="153"/>
      <c r="E36" s="233" t="str">
        <f>IF(E29 = "Select", "", E29)</f>
        <v/>
      </c>
      <c r="F36" s="31" t="s">
        <v>117</v>
      </c>
      <c r="G36" s="67" t="s">
        <v>103</v>
      </c>
      <c r="H36" s="319" t="str">
        <f t="shared" si="2"/>
        <v>31-100</v>
      </c>
      <c r="I36" s="31"/>
      <c r="J36" s="31"/>
      <c r="K36" s="173"/>
      <c r="AB36" s="15" t="s">
        <v>145</v>
      </c>
      <c r="AC36" s="158">
        <v>0.59000010000000003</v>
      </c>
      <c r="AD36" s="158">
        <v>0.83000010000000002</v>
      </c>
      <c r="AE36" s="15" t="s">
        <v>105</v>
      </c>
      <c r="AH36" s="15" t="s">
        <v>100</v>
      </c>
      <c r="AI36" s="15" t="s">
        <v>100</v>
      </c>
      <c r="AJ36" s="15" t="s">
        <v>100</v>
      </c>
      <c r="AK36" s="15" t="s">
        <v>102</v>
      </c>
    </row>
    <row r="37" spans="3:37" x14ac:dyDescent="0.4">
      <c r="C37" s="67" t="str">
        <f t="shared" si="0"/>
        <v/>
      </c>
      <c r="D37" s="153"/>
      <c r="E37" s="233" t="str">
        <f>IF(E29 = "Select", "", E29)</f>
        <v/>
      </c>
      <c r="F37" s="191" t="s">
        <v>117</v>
      </c>
      <c r="G37" s="148" t="s">
        <v>109</v>
      </c>
      <c r="H37" s="320">
        <f t="shared" si="2"/>
        <v>150</v>
      </c>
      <c r="I37" s="191"/>
      <c r="J37" s="191"/>
      <c r="K37" s="174"/>
      <c r="AB37" s="15" t="s">
        <v>145</v>
      </c>
      <c r="AC37" s="158">
        <v>0.47000009999999998</v>
      </c>
      <c r="AD37" s="158">
        <v>0.59000010000000003</v>
      </c>
      <c r="AE37" s="15" t="s">
        <v>108</v>
      </c>
      <c r="AH37" s="15" t="s">
        <v>100</v>
      </c>
      <c r="AI37" s="15" t="s">
        <v>100</v>
      </c>
      <c r="AJ37" s="15" t="s">
        <v>108</v>
      </c>
      <c r="AK37" s="15" t="s">
        <v>102</v>
      </c>
    </row>
    <row r="38" spans="3:37" x14ac:dyDescent="0.4">
      <c r="C38" s="67" t="str">
        <f t="shared" si="0"/>
        <v/>
      </c>
      <c r="D38" s="153"/>
      <c r="E38" s="233" t="str">
        <f>IF(E29 = "Select", "", E29)</f>
        <v/>
      </c>
      <c r="F38" s="31" t="s">
        <v>122</v>
      </c>
      <c r="G38" s="67" t="s">
        <v>95</v>
      </c>
      <c r="H38" s="319" t="str">
        <f t="shared" si="2"/>
        <v>0-30</v>
      </c>
      <c r="I38" s="31"/>
      <c r="J38" s="31"/>
      <c r="K38" s="173"/>
      <c r="AB38" s="15" t="s">
        <v>145</v>
      </c>
      <c r="AC38" s="158">
        <v>0.35000009999999998</v>
      </c>
      <c r="AD38" s="158">
        <v>0.47000009999999998</v>
      </c>
      <c r="AE38" s="15" t="s">
        <v>100</v>
      </c>
      <c r="AH38" s="15" t="s">
        <v>100</v>
      </c>
      <c r="AI38" s="15" t="s">
        <v>100</v>
      </c>
      <c r="AJ38" s="15" t="s">
        <v>105</v>
      </c>
      <c r="AK38" s="15" t="s">
        <v>102</v>
      </c>
    </row>
    <row r="39" spans="3:37" x14ac:dyDescent="0.4">
      <c r="C39" s="67" t="str">
        <f t="shared" si="0"/>
        <v/>
      </c>
      <c r="D39" s="153"/>
      <c r="E39" s="233" t="str">
        <f>IF(E29 = "Select", "", E29)</f>
        <v/>
      </c>
      <c r="F39" s="31" t="s">
        <v>122</v>
      </c>
      <c r="G39" s="67" t="s">
        <v>103</v>
      </c>
      <c r="H39" s="319" t="str">
        <f t="shared" si="2"/>
        <v>31-100</v>
      </c>
      <c r="I39" s="31"/>
      <c r="J39" s="31"/>
      <c r="K39" s="173"/>
      <c r="AB39" s="15" t="s">
        <v>145</v>
      </c>
      <c r="AC39" s="158">
        <v>0</v>
      </c>
      <c r="AD39" s="158">
        <v>0.35000009999999998</v>
      </c>
      <c r="AE39" s="15" t="s">
        <v>101</v>
      </c>
      <c r="AF39" s="15" t="s">
        <v>111</v>
      </c>
      <c r="AH39" s="15" t="s">
        <v>100</v>
      </c>
      <c r="AI39" s="15" t="s">
        <v>100</v>
      </c>
      <c r="AJ39" s="15" t="s">
        <v>98</v>
      </c>
      <c r="AK39" s="15" t="s">
        <v>102</v>
      </c>
    </row>
    <row r="40" spans="3:37" x14ac:dyDescent="0.4">
      <c r="C40" s="67" t="str">
        <f t="shared" si="0"/>
        <v/>
      </c>
      <c r="D40" s="153"/>
      <c r="E40" s="234" t="str">
        <f>IF(E29 = "Select", "", E29)</f>
        <v/>
      </c>
      <c r="F40" s="191" t="s">
        <v>122</v>
      </c>
      <c r="G40" s="148" t="s">
        <v>109</v>
      </c>
      <c r="H40" s="320">
        <f t="shared" si="2"/>
        <v>150</v>
      </c>
      <c r="I40" s="191"/>
      <c r="J40" s="191"/>
      <c r="K40" s="174"/>
      <c r="AB40" s="15" t="s">
        <v>146</v>
      </c>
      <c r="AC40" s="158">
        <v>8.0000099999999996</v>
      </c>
      <c r="AD40" s="158">
        <v>100</v>
      </c>
      <c r="AE40" s="15" t="s">
        <v>98</v>
      </c>
      <c r="AH40" s="15" t="s">
        <v>100</v>
      </c>
      <c r="AI40" s="15" t="s">
        <v>108</v>
      </c>
      <c r="AJ40" s="15" t="s">
        <v>101</v>
      </c>
      <c r="AK40" s="15" t="s">
        <v>102</v>
      </c>
    </row>
    <row r="41" spans="3:37" x14ac:dyDescent="0.4">
      <c r="AB41" s="15" t="s">
        <v>146</v>
      </c>
      <c r="AC41" s="158">
        <v>6</v>
      </c>
      <c r="AD41" s="158">
        <v>8.0000099999999996</v>
      </c>
      <c r="AE41" s="15" t="s">
        <v>105</v>
      </c>
      <c r="AH41" s="15" t="s">
        <v>100</v>
      </c>
      <c r="AI41" s="15" t="s">
        <v>108</v>
      </c>
      <c r="AJ41" s="15" t="s">
        <v>100</v>
      </c>
      <c r="AK41" s="15" t="s">
        <v>102</v>
      </c>
    </row>
    <row r="42" spans="3:37" x14ac:dyDescent="0.4">
      <c r="D42" s="18" t="s">
        <v>1930</v>
      </c>
      <c r="AB42" s="15" t="s">
        <v>146</v>
      </c>
      <c r="AC42" s="158">
        <v>4</v>
      </c>
      <c r="AD42" s="158">
        <v>6</v>
      </c>
      <c r="AE42" s="15" t="s">
        <v>108</v>
      </c>
      <c r="AH42" s="15" t="s">
        <v>100</v>
      </c>
      <c r="AI42" s="15" t="s">
        <v>108</v>
      </c>
      <c r="AJ42" s="15" t="s">
        <v>108</v>
      </c>
      <c r="AK42" s="15" t="s">
        <v>102</v>
      </c>
    </row>
    <row r="43" spans="3:37" hidden="1" x14ac:dyDescent="0.4">
      <c r="C43" s="15">
        <v>8.11</v>
      </c>
      <c r="D43" s="15">
        <v>8.1199999999999992</v>
      </c>
      <c r="E43" s="15">
        <v>8.1300000000000008</v>
      </c>
      <c r="F43" s="15">
        <v>8.14</v>
      </c>
      <c r="G43" s="15">
        <v>8.15</v>
      </c>
      <c r="H43" s="15">
        <v>8.16</v>
      </c>
      <c r="AB43" s="15" t="s">
        <v>146</v>
      </c>
      <c r="AC43" s="158">
        <v>2</v>
      </c>
      <c r="AD43" s="158">
        <v>4</v>
      </c>
      <c r="AE43" s="15" t="s">
        <v>100</v>
      </c>
      <c r="AH43" s="15" t="s">
        <v>100</v>
      </c>
      <c r="AI43" s="15" t="s">
        <v>108</v>
      </c>
      <c r="AJ43" s="15" t="s">
        <v>105</v>
      </c>
      <c r="AK43" s="15" t="s">
        <v>102</v>
      </c>
    </row>
    <row r="44" spans="3:37" ht="33.6" x14ac:dyDescent="0.4">
      <c r="C44" s="63" t="s">
        <v>44</v>
      </c>
      <c r="D44" s="63" t="s">
        <v>152</v>
      </c>
      <c r="E44" s="63" t="s">
        <v>80</v>
      </c>
      <c r="F44" s="63" t="s">
        <v>186</v>
      </c>
      <c r="G44" s="63" t="s">
        <v>125</v>
      </c>
      <c r="H44" s="59" t="s">
        <v>126</v>
      </c>
      <c r="AB44" s="15" t="s">
        <v>146</v>
      </c>
      <c r="AC44" s="158">
        <v>0</v>
      </c>
      <c r="AD44" s="158">
        <v>2</v>
      </c>
      <c r="AE44" s="15" t="s">
        <v>101</v>
      </c>
      <c r="AF44" s="15" t="s">
        <v>111</v>
      </c>
      <c r="AH44" s="15" t="s">
        <v>100</v>
      </c>
      <c r="AI44" s="15" t="s">
        <v>108</v>
      </c>
      <c r="AJ44" s="15" t="s">
        <v>98</v>
      </c>
      <c r="AK44" s="15" t="s">
        <v>102</v>
      </c>
    </row>
    <row r="45" spans="3:37" x14ac:dyDescent="0.4">
      <c r="C45" s="67" t="str">
        <f>C5</f>
        <v/>
      </c>
      <c r="D45" s="67" t="str">
        <f>E6</f>
        <v/>
      </c>
      <c r="E45" s="67" t="str">
        <f>G5</f>
        <v>Sampling zone 1</v>
      </c>
      <c r="F45" s="56" t="str">
        <f>IFERROR(AVERAGE(I5:J5,I8:J8,I11:J11,I14:J14),"")</f>
        <v/>
      </c>
      <c r="G45" s="56" t="str" cm="1">
        <f t="array" ref="G45">IFERROR(INDEX(Table967[EQS category ref], MATCH(1, (Table5663[[#This Row],[Biotic indicator]]=Table967[Biotic index ref])*(Table5663[[#This Row],[Average indicator value]]&gt;=Table967[Equal or larger than])*(Table5663[[#This Row],[Average indicator value]]&lt;Table967[smaller than]),0)),"")</f>
        <v/>
      </c>
      <c r="H45" s="111" t="str" cm="1">
        <f t="array" ref="H45">IFERROR(_xlfn.IFS(Table5663[[#This Row],[EQS category]]="Bad",5, Table5663[[#This Row],[EQS category]]="Poor",4, Table5663[[#This Row],[EQS category]]="Moderate",3, Table5663[[#This Row],[EQS category]]="Good",2, Table5663[[#This Row],[EQS category]]="High",1),"")</f>
        <v/>
      </c>
      <c r="AB45" s="15" t="s">
        <v>147</v>
      </c>
      <c r="AC45" s="158">
        <v>16.00001</v>
      </c>
      <c r="AD45" s="158">
        <v>10000000</v>
      </c>
      <c r="AE45" s="15" t="s">
        <v>98</v>
      </c>
      <c r="AF45" s="15" t="s">
        <v>141</v>
      </c>
      <c r="AH45" s="15" t="s">
        <v>100</v>
      </c>
      <c r="AI45" s="15" t="s">
        <v>105</v>
      </c>
      <c r="AJ45" s="15" t="s">
        <v>101</v>
      </c>
      <c r="AK45" s="15" t="s">
        <v>102</v>
      </c>
    </row>
    <row r="46" spans="3:37" x14ac:dyDescent="0.4">
      <c r="C46" s="67" t="str">
        <f>C8</f>
        <v/>
      </c>
      <c r="D46" s="67" t="str">
        <f>E18</f>
        <v/>
      </c>
      <c r="E46" s="67" t="str">
        <f>G17</f>
        <v>Sampling zone 1</v>
      </c>
      <c r="F46" s="56" t="str">
        <f>IFERROR(AVERAGE(I17:J17,I23:J23,I20:J20,I26:J26),"")</f>
        <v/>
      </c>
      <c r="G46" s="56" t="str" cm="1">
        <f t="array" ref="G46">IFERROR(INDEX(Table967[EQS category ref], MATCH(1, (Table5663[[#This Row],[Biotic indicator]]=Table967[Biotic index ref])*(Table5663[[#This Row],[Average indicator value]]&gt;=Table967[Equal or larger than])*(Table5663[[#This Row],[Average indicator value]]&lt;Table967[smaller than]),0)),"")</f>
        <v/>
      </c>
      <c r="H46" s="111" t="str" cm="1">
        <f t="array" ref="H46">IFERROR(_xlfn.IFS(Table5663[[#This Row],[EQS category]]="Bad",5, Table5663[[#This Row],[EQS category]]="Poor",4, Table5663[[#This Row],[EQS category]]="Moderate",3, Table5663[[#This Row],[EQS category]]="Good",2, Table5663[[#This Row],[EQS category]]="High",1),"")</f>
        <v/>
      </c>
      <c r="AB46" s="15" t="s">
        <v>147</v>
      </c>
      <c r="AC46" s="158">
        <v>11.7</v>
      </c>
      <c r="AD46" s="158">
        <v>16.00001</v>
      </c>
      <c r="AE46" s="15" t="s">
        <v>105</v>
      </c>
      <c r="AH46" s="15" t="s">
        <v>100</v>
      </c>
      <c r="AI46" s="15" t="s">
        <v>105</v>
      </c>
      <c r="AJ46" s="15" t="s">
        <v>100</v>
      </c>
      <c r="AK46" s="15" t="s">
        <v>102</v>
      </c>
    </row>
    <row r="47" spans="3:37" x14ac:dyDescent="0.4">
      <c r="C47" s="67" t="str">
        <f>C11</f>
        <v/>
      </c>
      <c r="D47" s="67" t="str">
        <f>E30</f>
        <v/>
      </c>
      <c r="E47" s="67" t="str">
        <f>G29</f>
        <v>Sampling zone 1</v>
      </c>
      <c r="F47" s="56" t="str">
        <f>IFERROR(AVERAGE(I29:J29,I32:J32,I35:J35,I38:J38),"")</f>
        <v/>
      </c>
      <c r="G47" s="56" t="str" cm="1">
        <f t="array" ref="G47">IFERROR(INDEX(Table967[EQS category ref], MATCH(1, (Table5663[[#This Row],[Biotic indicator]]=Table967[Biotic index ref])*(Table5663[[#This Row],[Average indicator value]]&gt;=Table967[Equal or larger than])*(Table5663[[#This Row],[Average indicator value]]&lt;Table967[smaller than]),0)),"")</f>
        <v/>
      </c>
      <c r="H47" s="111" t="str" cm="1">
        <f t="array" ref="H47">IFERROR(_xlfn.IFS(Table5663[[#This Row],[EQS category]]="Bad",5, Table5663[[#This Row],[EQS category]]="Poor",4, Table5663[[#This Row],[EQS category]]="Moderate",3, Table5663[[#This Row],[EQS category]]="Good",2, Table5663[[#This Row],[EQS category]]="High",1),"")</f>
        <v/>
      </c>
      <c r="AB47" s="15" t="s">
        <v>147</v>
      </c>
      <c r="AC47" s="158">
        <v>7.5</v>
      </c>
      <c r="AD47" s="158">
        <v>11.7</v>
      </c>
      <c r="AE47" s="15" t="s">
        <v>108</v>
      </c>
      <c r="AH47" s="15" t="s">
        <v>100</v>
      </c>
      <c r="AI47" s="15" t="s">
        <v>105</v>
      </c>
      <c r="AJ47" s="15" t="s">
        <v>108</v>
      </c>
      <c r="AK47" s="15" t="s">
        <v>102</v>
      </c>
    </row>
    <row r="48" spans="3:37" x14ac:dyDescent="0.4">
      <c r="C48" s="67" t="str">
        <f>C14</f>
        <v/>
      </c>
      <c r="D48" s="67" t="str">
        <f>E8</f>
        <v/>
      </c>
      <c r="E48" s="67" t="str">
        <f>G6</f>
        <v>Sampling zone 2</v>
      </c>
      <c r="F48" s="56" t="str">
        <f>IFERROR(AVERAGE(I6:J6,I9:J9,I12:J12,I15:J15),"")</f>
        <v/>
      </c>
      <c r="G48" s="56" t="str" cm="1">
        <f t="array" ref="G48">IFERROR(INDEX(Table967[EQS category ref], MATCH(1, (Table5663[[#This Row],[Biotic indicator]]=Table967[Biotic index ref])*(Table5663[[#This Row],[Average indicator value]]&gt;=Table967[Equal or larger than])*(Table5663[[#This Row],[Average indicator value]]&lt;Table967[smaller than]),0)),"")</f>
        <v/>
      </c>
      <c r="H48" s="111" t="str" cm="1">
        <f t="array" ref="H48">IFERROR(_xlfn.IFS(Table5663[[#This Row],[EQS category]]="Bad",5, Table5663[[#This Row],[EQS category]]="Poor",4, Table5663[[#This Row],[EQS category]]="Moderate",3, Table5663[[#This Row],[EQS category]]="Good",2, Table5663[[#This Row],[EQS category]]="High",1),"")</f>
        <v/>
      </c>
      <c r="AB48" s="15" t="s">
        <v>147</v>
      </c>
      <c r="AC48" s="158">
        <v>5.4</v>
      </c>
      <c r="AD48" s="158">
        <v>7.5</v>
      </c>
      <c r="AE48" s="15" t="s">
        <v>100</v>
      </c>
      <c r="AH48" s="15" t="s">
        <v>100</v>
      </c>
      <c r="AI48" s="15" t="s">
        <v>105</v>
      </c>
      <c r="AJ48" s="15" t="s">
        <v>105</v>
      </c>
      <c r="AK48" s="15" t="s">
        <v>102</v>
      </c>
    </row>
    <row r="49" spans="3:37" x14ac:dyDescent="0.4">
      <c r="C49" s="67" t="str">
        <f>C17</f>
        <v/>
      </c>
      <c r="D49" s="67" t="str">
        <f>E20</f>
        <v/>
      </c>
      <c r="E49" s="67" t="str">
        <f>G18</f>
        <v>Sampling zone 2</v>
      </c>
      <c r="F49" s="56" t="str">
        <f>IFERROR(AVERAGE(I18:J18,I24:J24,I21:J21,I27:J27),"")</f>
        <v/>
      </c>
      <c r="G49" s="56" t="str" cm="1">
        <f t="array" ref="G49">IFERROR(INDEX(Table967[EQS category ref], MATCH(1, (Table5663[[#This Row],[Biotic indicator]]=Table967[Biotic index ref])*(Table5663[[#This Row],[Average indicator value]]&gt;=Table967[Equal or larger than])*(Table5663[[#This Row],[Average indicator value]]&lt;Table967[smaller than]),0)),"")</f>
        <v/>
      </c>
      <c r="H49" s="111" t="str" cm="1">
        <f t="array" ref="H49">IFERROR(_xlfn.IFS(Table5663[[#This Row],[EQS category]]="Bad",5, Table5663[[#This Row],[EQS category]]="Poor",4, Table5663[[#This Row],[EQS category]]="Moderate",3, Table5663[[#This Row],[EQS category]]="Good",2, Table5663[[#This Row],[EQS category]]="High",1),"")</f>
        <v/>
      </c>
      <c r="AB49" s="15" t="s">
        <v>147</v>
      </c>
      <c r="AC49" s="158">
        <v>0</v>
      </c>
      <c r="AD49" s="158">
        <v>5.4</v>
      </c>
      <c r="AE49" s="15" t="s">
        <v>101</v>
      </c>
      <c r="AF49" s="15" t="s">
        <v>111</v>
      </c>
      <c r="AH49" s="15" t="s">
        <v>100</v>
      </c>
      <c r="AI49" s="15" t="s">
        <v>105</v>
      </c>
      <c r="AJ49" s="15" t="s">
        <v>98</v>
      </c>
      <c r="AK49" s="15" t="s">
        <v>102</v>
      </c>
    </row>
    <row r="50" spans="3:37" x14ac:dyDescent="0.4">
      <c r="C50" s="67" t="str">
        <f>C20</f>
        <v/>
      </c>
      <c r="D50" s="67" t="str">
        <f>E32</f>
        <v/>
      </c>
      <c r="E50" s="67" t="str">
        <f>G30</f>
        <v>Sampling zone 2</v>
      </c>
      <c r="F50" s="56" t="str">
        <f>IFERROR(AVERAGE(I30:J30,I33:J33,I36:J36,I39:J39),"")</f>
        <v/>
      </c>
      <c r="G50" s="56" t="str" cm="1">
        <f t="array" ref="G50">IFERROR(INDEX(Table967[EQS category ref], MATCH(1, (Table5663[[#This Row],[Biotic indicator]]=Table967[Biotic index ref])*(Table5663[[#This Row],[Average indicator value]]&gt;=Table967[Equal or larger than])*(Table5663[[#This Row],[Average indicator value]]&lt;Table967[smaller than]),0)),"")</f>
        <v/>
      </c>
      <c r="H50" s="111" t="str" cm="1">
        <f t="array" ref="H50">IFERROR(_xlfn.IFS(Table5663[[#This Row],[EQS category]]="Bad",5, Table5663[[#This Row],[EQS category]]="Poor",4, Table5663[[#This Row],[EQS category]]="Moderate",3, Table5663[[#This Row],[EQS category]]="Good",2, Table5663[[#This Row],[EQS category]]="High",1),"")</f>
        <v/>
      </c>
      <c r="AB50" s="15" t="s">
        <v>148</v>
      </c>
      <c r="AC50" s="158">
        <v>16.00001</v>
      </c>
      <c r="AD50" s="158">
        <v>10000000</v>
      </c>
      <c r="AE50" s="15" t="s">
        <v>98</v>
      </c>
      <c r="AF50" s="15" t="s">
        <v>141</v>
      </c>
      <c r="AH50" s="15" t="s">
        <v>100</v>
      </c>
      <c r="AI50" s="15" t="s">
        <v>98</v>
      </c>
      <c r="AJ50" s="15" t="s">
        <v>101</v>
      </c>
      <c r="AK50" s="15" t="s">
        <v>102</v>
      </c>
    </row>
    <row r="51" spans="3:37" x14ac:dyDescent="0.4">
      <c r="C51" s="67" t="str">
        <f>C23</f>
        <v/>
      </c>
      <c r="D51" s="67" t="str">
        <f>E11</f>
        <v/>
      </c>
      <c r="E51" s="67" t="str">
        <f>G7</f>
        <v>Reference zone</v>
      </c>
      <c r="F51" s="56" t="str">
        <f>IFERROR(AVERAGE(I13:J13,I7:J7,I10:J10,I16:J16),"")</f>
        <v/>
      </c>
      <c r="G51" s="56" t="str" cm="1">
        <f t="array" ref="G51">IFERROR(INDEX(Table967[EQS category ref], MATCH(1, (Table5663[[#This Row],[Biotic indicator]]=Table967[Biotic index ref])*(Table5663[[#This Row],[Average indicator value]]&gt;=Table967[Equal or larger than])*(Table5663[[#This Row],[Average indicator value]]&lt;Table967[smaller than]),0)),"")</f>
        <v/>
      </c>
      <c r="H51" s="111" t="str" cm="1">
        <f t="array" ref="H51">IFERROR(_xlfn.IFS(Table5663[[#This Row],[EQS category]]="Bad",5, Table5663[[#This Row],[EQS category]]="Poor",4, Table5663[[#This Row],[EQS category]]="Moderate",3, Table5663[[#This Row],[EQS category]]="Good",2, Table5663[[#This Row],[EQS category]]="High",1),"")</f>
        <v/>
      </c>
      <c r="AB51" s="15" t="s">
        <v>148</v>
      </c>
      <c r="AC51" s="158">
        <v>12</v>
      </c>
      <c r="AD51" s="158">
        <v>16.00001</v>
      </c>
      <c r="AE51" s="15" t="s">
        <v>105</v>
      </c>
      <c r="AH51" s="15" t="s">
        <v>100</v>
      </c>
      <c r="AI51" s="15" t="s">
        <v>98</v>
      </c>
      <c r="AJ51" s="15" t="s">
        <v>100</v>
      </c>
      <c r="AK51" s="15" t="s">
        <v>102</v>
      </c>
    </row>
    <row r="52" spans="3:37" x14ac:dyDescent="0.4">
      <c r="C52" s="67" t="str">
        <f>C26</f>
        <v/>
      </c>
      <c r="D52" s="67" t="str">
        <f>E23</f>
        <v/>
      </c>
      <c r="E52" s="67" t="str">
        <f>G19</f>
        <v>Reference zone</v>
      </c>
      <c r="F52" s="56" t="str">
        <f>IFERROR(AVERAGE(I19:J19,I25:J25,I22:J22,I28:J28),"")</f>
        <v/>
      </c>
      <c r="G52" s="56" t="str" cm="1">
        <f t="array" ref="G52">IFERROR(INDEX(Table967[EQS category ref], MATCH(1, (Table5663[[#This Row],[Biotic indicator]]=Table967[Biotic index ref])*(Table5663[[#This Row],[Average indicator value]]&gt;=Table967[Equal or larger than])*(Table5663[[#This Row],[Average indicator value]]&lt;Table967[smaller than]),0)),"")</f>
        <v/>
      </c>
      <c r="H52" s="111" t="str" cm="1">
        <f t="array" ref="H52">IFERROR(_xlfn.IFS(Table5663[[#This Row],[EQS category]]="Bad",5, Table5663[[#This Row],[EQS category]]="Poor",4, Table5663[[#This Row],[EQS category]]="Moderate",3, Table5663[[#This Row],[EQS category]]="Good",2, Table5663[[#This Row],[EQS category]]="High",1),"")</f>
        <v/>
      </c>
      <c r="AB52" s="15" t="s">
        <v>148</v>
      </c>
      <c r="AC52" s="158">
        <v>8</v>
      </c>
      <c r="AD52" s="158">
        <v>12</v>
      </c>
      <c r="AE52" s="15" t="s">
        <v>108</v>
      </c>
      <c r="AH52" s="15" t="s">
        <v>100</v>
      </c>
      <c r="AI52" s="15" t="s">
        <v>98</v>
      </c>
      <c r="AJ52" s="15" t="s">
        <v>108</v>
      </c>
      <c r="AK52" s="15" t="s">
        <v>102</v>
      </c>
    </row>
    <row r="53" spans="3:37" x14ac:dyDescent="0.4">
      <c r="C53" s="67" t="str">
        <f>C29</f>
        <v/>
      </c>
      <c r="D53" s="67" t="str">
        <f>E35</f>
        <v/>
      </c>
      <c r="E53" s="67" t="str">
        <f>G31</f>
        <v>Reference zone</v>
      </c>
      <c r="F53" s="56" t="str">
        <f>IFERROR(AVERAGE(I34:J34,I37:J37,I31:J31,I40:J40),"")</f>
        <v/>
      </c>
      <c r="G53" s="56" t="str" cm="1">
        <f t="array" ref="G53">IFERROR(INDEX(Table967[EQS category ref], MATCH(1, (Table5663[[#This Row],[Biotic indicator]]=Table967[Biotic index ref])*(Table5663[[#This Row],[Average indicator value]]&gt;=Table967[Equal or larger than])*(Table5663[[#This Row],[Average indicator value]]&lt;Table967[smaller than]),0)),"")</f>
        <v/>
      </c>
      <c r="H53" s="111" t="str" cm="1">
        <f t="array" ref="H53">IFERROR(_xlfn.IFS(Table5663[[#This Row],[EQS category]]="Bad",5, Table5663[[#This Row],[EQS category]]="Poor",4, Table5663[[#This Row],[EQS category]]="Moderate",3, Table5663[[#This Row],[EQS category]]="Good",2, Table5663[[#This Row],[EQS category]]="High",1),"")</f>
        <v/>
      </c>
      <c r="AB53" s="15" t="s">
        <v>148</v>
      </c>
      <c r="AC53" s="158">
        <v>4</v>
      </c>
      <c r="AD53" s="158">
        <v>8</v>
      </c>
      <c r="AE53" s="15" t="s">
        <v>100</v>
      </c>
      <c r="AH53" s="15" t="s">
        <v>100</v>
      </c>
      <c r="AI53" s="15" t="s">
        <v>98</v>
      </c>
      <c r="AJ53" s="15" t="s">
        <v>105</v>
      </c>
      <c r="AK53" s="15" t="s">
        <v>102</v>
      </c>
    </row>
    <row r="54" spans="3:37" x14ac:dyDescent="0.4">
      <c r="AB54" s="15" t="s">
        <v>148</v>
      </c>
      <c r="AC54" s="158">
        <v>0</v>
      </c>
      <c r="AD54" s="158">
        <v>4</v>
      </c>
      <c r="AE54" s="15" t="s">
        <v>101</v>
      </c>
      <c r="AF54" s="15" t="s">
        <v>111</v>
      </c>
      <c r="AH54" s="15" t="s">
        <v>100</v>
      </c>
      <c r="AI54" s="15" t="s">
        <v>98</v>
      </c>
      <c r="AJ54" s="15" t="s">
        <v>98</v>
      </c>
      <c r="AK54" s="15" t="s">
        <v>102</v>
      </c>
    </row>
    <row r="55" spans="3:37" x14ac:dyDescent="0.4">
      <c r="D55" s="18" t="s">
        <v>157</v>
      </c>
      <c r="AB55" s="15" t="s">
        <v>149</v>
      </c>
      <c r="AC55" s="158">
        <v>20.80001</v>
      </c>
      <c r="AD55" s="158">
        <v>10000000</v>
      </c>
      <c r="AE55" s="15" t="s">
        <v>98</v>
      </c>
      <c r="AF55" s="15" t="s">
        <v>141</v>
      </c>
      <c r="AH55" s="15" t="s">
        <v>108</v>
      </c>
      <c r="AI55" s="15" t="s">
        <v>101</v>
      </c>
      <c r="AJ55" s="15" t="s">
        <v>101</v>
      </c>
      <c r="AK55" s="15" t="s">
        <v>102</v>
      </c>
    </row>
    <row r="56" spans="3:37" hidden="1" x14ac:dyDescent="0.4">
      <c r="C56" s="15">
        <v>8.17</v>
      </c>
      <c r="D56" s="15">
        <v>8.18</v>
      </c>
      <c r="E56" s="15">
        <v>8.19</v>
      </c>
      <c r="F56" s="15">
        <v>8.2100000000000009</v>
      </c>
      <c r="AB56" s="15" t="s">
        <v>149</v>
      </c>
      <c r="AC56" s="158">
        <v>9.1999999999999993</v>
      </c>
      <c r="AD56" s="158">
        <v>20.800001000000002</v>
      </c>
      <c r="AE56" s="15" t="s">
        <v>105</v>
      </c>
      <c r="AH56" s="15" t="s">
        <v>108</v>
      </c>
      <c r="AI56" s="15" t="s">
        <v>101</v>
      </c>
      <c r="AJ56" s="15" t="s">
        <v>100</v>
      </c>
      <c r="AK56" s="15" t="s">
        <v>102</v>
      </c>
    </row>
    <row r="57" spans="3:37" ht="17.399999999999999" thickBot="1" x14ac:dyDescent="0.45">
      <c r="C57" s="64" t="s">
        <v>128</v>
      </c>
      <c r="D57" s="64" t="s">
        <v>80</v>
      </c>
      <c r="E57" s="64" t="s">
        <v>129</v>
      </c>
      <c r="F57" s="79" t="s">
        <v>130</v>
      </c>
      <c r="AB57" s="15" t="s">
        <v>149</v>
      </c>
      <c r="AC57" s="158">
        <v>5.7</v>
      </c>
      <c r="AD57" s="158">
        <v>9.1999999999999993</v>
      </c>
      <c r="AE57" s="15" t="s">
        <v>108</v>
      </c>
      <c r="AH57" s="15" t="s">
        <v>108</v>
      </c>
      <c r="AI57" s="15" t="s">
        <v>101</v>
      </c>
      <c r="AJ57" s="15" t="s">
        <v>108</v>
      </c>
      <c r="AK57" s="15" t="s">
        <v>102</v>
      </c>
    </row>
    <row r="58" spans="3:37" ht="17.399999999999999" thickTop="1" x14ac:dyDescent="0.4">
      <c r="C58" s="94" t="str">
        <f>C45</f>
        <v/>
      </c>
      <c r="D58" s="56" t="str">
        <f>E45</f>
        <v>Sampling zone 1</v>
      </c>
      <c r="E58" s="76" t="str">
        <f>IFERROR((H45+H46+H47)/3,"")</f>
        <v/>
      </c>
      <c r="F58" s="112" t="str" cm="1">
        <f t="array" ref="F58">IFERROR(INDEX(Table20151828[EQS category ref], MATCH(1,(Table5764[[#This Row],[Zone EQS score]]&gt;Table20151828[Larger than])*(Table5764[[#This Row],[Zone EQS score]]&lt;=Table20151828[Equal or smaller than]),0)),"")</f>
        <v/>
      </c>
      <c r="AB58" s="15" t="s">
        <v>149</v>
      </c>
      <c r="AC58" s="158">
        <v>1.9</v>
      </c>
      <c r="AD58" s="158">
        <v>5.7</v>
      </c>
      <c r="AE58" s="15" t="s">
        <v>100</v>
      </c>
      <c r="AH58" s="15" t="s">
        <v>108</v>
      </c>
      <c r="AI58" s="15" t="s">
        <v>101</v>
      </c>
      <c r="AJ58" s="15" t="s">
        <v>105</v>
      </c>
      <c r="AK58" s="15" t="s">
        <v>102</v>
      </c>
    </row>
    <row r="59" spans="3:37" x14ac:dyDescent="0.4">
      <c r="C59" s="94" t="str">
        <f>C46</f>
        <v/>
      </c>
      <c r="D59" s="94" t="str">
        <f>E48</f>
        <v>Sampling zone 2</v>
      </c>
      <c r="E59" s="76" t="str">
        <f>IFERROR((H48+H49+H50)/3,"")</f>
        <v/>
      </c>
      <c r="F59" s="112" t="str" cm="1">
        <f t="array" ref="F59">IFERROR(INDEX(Table20151828[EQS category ref], MATCH(1,(Table5764[[#This Row],[Zone EQS score]]&gt;Table20151828[Larger than])*(Table5764[[#This Row],[Zone EQS score]]&lt;=Table20151828[Equal or smaller than]),0)),"")</f>
        <v/>
      </c>
      <c r="AB59" s="15" t="s">
        <v>149</v>
      </c>
      <c r="AC59" s="158">
        <v>0</v>
      </c>
      <c r="AD59" s="158">
        <v>1.9</v>
      </c>
      <c r="AE59" s="15" t="s">
        <v>101</v>
      </c>
      <c r="AF59" s="15" t="s">
        <v>111</v>
      </c>
      <c r="AH59" s="15" t="s">
        <v>108</v>
      </c>
      <c r="AI59" s="15" t="s">
        <v>101</v>
      </c>
      <c r="AJ59" s="15" t="s">
        <v>98</v>
      </c>
      <c r="AK59" s="15" t="s">
        <v>102</v>
      </c>
    </row>
    <row r="60" spans="3:37" x14ac:dyDescent="0.4">
      <c r="C60" s="94" t="str">
        <f>C47</f>
        <v/>
      </c>
      <c r="D60" s="94" t="str">
        <f>E51</f>
        <v>Reference zone</v>
      </c>
      <c r="E60" s="76" t="str">
        <f>IFERROR((H51+H52+H53)/3,"")</f>
        <v/>
      </c>
      <c r="F60" s="112" t="str" cm="1">
        <f t="array" ref="F60">IFERROR(INDEX(Table20151828[EQS category ref], MATCH(1,(Table5764[[#This Row],[Zone EQS score]]&gt;Table20151828[Larger than])*(Table5764[[#This Row],[Zone EQS score]]&lt;=Table20151828[Equal or smaller than]),0)),"")</f>
        <v/>
      </c>
      <c r="AB60" s="15" t="s">
        <v>150</v>
      </c>
      <c r="AC60" s="158">
        <v>0.67000009999999999</v>
      </c>
      <c r="AD60" s="158">
        <v>10000000</v>
      </c>
      <c r="AE60" s="15" t="s">
        <v>98</v>
      </c>
      <c r="AF60" s="15" t="s">
        <v>141</v>
      </c>
      <c r="AH60" s="15" t="s">
        <v>108</v>
      </c>
      <c r="AI60" s="15" t="s">
        <v>100</v>
      </c>
      <c r="AJ60" s="15" t="s">
        <v>101</v>
      </c>
      <c r="AK60" s="15" t="s">
        <v>102</v>
      </c>
    </row>
    <row r="61" spans="3:37" x14ac:dyDescent="0.4">
      <c r="AB61" s="15" t="s">
        <v>150</v>
      </c>
      <c r="AC61" s="158">
        <v>0.5</v>
      </c>
      <c r="AD61" s="158">
        <v>0.67000009999999999</v>
      </c>
      <c r="AE61" s="15" t="s">
        <v>105</v>
      </c>
      <c r="AH61" s="15" t="s">
        <v>108</v>
      </c>
      <c r="AI61" s="15" t="s">
        <v>100</v>
      </c>
      <c r="AJ61" s="15" t="s">
        <v>100</v>
      </c>
      <c r="AK61" s="15" t="s">
        <v>102</v>
      </c>
    </row>
    <row r="62" spans="3:37" x14ac:dyDescent="0.4">
      <c r="D62" s="18" t="s">
        <v>1922</v>
      </c>
      <c r="AB62" s="15" t="s">
        <v>150</v>
      </c>
      <c r="AC62" s="158">
        <v>0.42</v>
      </c>
      <c r="AD62" s="158">
        <v>0.5</v>
      </c>
      <c r="AE62" s="15" t="s">
        <v>108</v>
      </c>
      <c r="AH62" s="15" t="s">
        <v>108</v>
      </c>
      <c r="AI62" s="15" t="s">
        <v>100</v>
      </c>
      <c r="AJ62" s="15" t="s">
        <v>108</v>
      </c>
      <c r="AK62" s="15" t="s">
        <v>102</v>
      </c>
    </row>
    <row r="63" spans="3:37" hidden="1" x14ac:dyDescent="0.4">
      <c r="C63" s="15">
        <v>8.2200000000000006</v>
      </c>
      <c r="D63" s="15">
        <v>8.23</v>
      </c>
      <c r="AB63" s="15" t="s">
        <v>150</v>
      </c>
      <c r="AC63" s="158">
        <v>0.33</v>
      </c>
      <c r="AD63" s="158">
        <v>0.42</v>
      </c>
      <c r="AE63" s="15" t="s">
        <v>100</v>
      </c>
      <c r="AH63" s="15" t="s">
        <v>108</v>
      </c>
      <c r="AI63" s="15" t="s">
        <v>100</v>
      </c>
      <c r="AJ63" s="15" t="s">
        <v>105</v>
      </c>
      <c r="AK63" s="15" t="s">
        <v>102</v>
      </c>
    </row>
    <row r="64" spans="3:37" x14ac:dyDescent="0.4">
      <c r="C64" s="64" t="s">
        <v>44</v>
      </c>
      <c r="D64" s="63" t="s">
        <v>158</v>
      </c>
      <c r="AB64" s="15" t="s">
        <v>150</v>
      </c>
      <c r="AC64" s="158">
        <v>0</v>
      </c>
      <c r="AD64" s="158">
        <v>0.33</v>
      </c>
      <c r="AE64" s="15" t="s">
        <v>101</v>
      </c>
      <c r="AF64" s="15" t="s">
        <v>111</v>
      </c>
      <c r="AH64" s="15" t="s">
        <v>108</v>
      </c>
      <c r="AI64" s="15" t="s">
        <v>100</v>
      </c>
      <c r="AJ64" s="15" t="s">
        <v>98</v>
      </c>
      <c r="AK64" s="15" t="s">
        <v>102</v>
      </c>
    </row>
    <row r="65" spans="3:37" x14ac:dyDescent="0.4">
      <c r="C65" s="94" t="str">
        <f>C58</f>
        <v/>
      </c>
      <c r="D65" s="56" t="str" cm="1">
        <f t="array" ref="D65">IFERROR(INDEX(Table40682627[Benthic status], MATCH(1, (F60=Table40682627[[Reference zone ]])*(F58=Table40682627[Farm monitoring zone 1])*(F59=Table40682627[Farm monitoring zone 2]),0)),"")</f>
        <v/>
      </c>
      <c r="AB65" s="15" t="s">
        <v>151</v>
      </c>
      <c r="AC65" s="158">
        <v>0.86000010000000005</v>
      </c>
      <c r="AD65" s="158">
        <v>10000000</v>
      </c>
      <c r="AE65" s="15" t="s">
        <v>98</v>
      </c>
      <c r="AF65" s="15" t="s">
        <v>141</v>
      </c>
      <c r="AH65" s="15" t="s">
        <v>108</v>
      </c>
      <c r="AI65" s="15" t="s">
        <v>108</v>
      </c>
      <c r="AJ65" s="15" t="s">
        <v>101</v>
      </c>
      <c r="AK65" s="15" t="s">
        <v>102</v>
      </c>
    </row>
    <row r="66" spans="3:37" x14ac:dyDescent="0.4">
      <c r="AB66" s="15" t="s">
        <v>151</v>
      </c>
      <c r="AC66" s="158">
        <v>0.68</v>
      </c>
      <c r="AD66" s="158">
        <v>0.86000010000000005</v>
      </c>
      <c r="AE66" s="15" t="s">
        <v>105</v>
      </c>
      <c r="AH66" s="15" t="s">
        <v>108</v>
      </c>
      <c r="AI66" s="15" t="s">
        <v>108</v>
      </c>
      <c r="AJ66" s="15" t="s">
        <v>100</v>
      </c>
      <c r="AK66" s="15" t="s">
        <v>102</v>
      </c>
    </row>
    <row r="67" spans="3:37" x14ac:dyDescent="0.4">
      <c r="AB67" s="15" t="s">
        <v>151</v>
      </c>
      <c r="AC67" s="158">
        <v>0.43</v>
      </c>
      <c r="AD67" s="158">
        <v>0.68</v>
      </c>
      <c r="AE67" s="15" t="s">
        <v>108</v>
      </c>
      <c r="AH67" s="15" t="s">
        <v>108</v>
      </c>
      <c r="AI67" s="15" t="s">
        <v>108</v>
      </c>
      <c r="AJ67" s="15" t="s">
        <v>108</v>
      </c>
      <c r="AK67" s="15" t="s">
        <v>133</v>
      </c>
    </row>
    <row r="68" spans="3:37" x14ac:dyDescent="0.4">
      <c r="AB68" s="15" t="s">
        <v>151</v>
      </c>
      <c r="AC68" s="158">
        <v>0.2</v>
      </c>
      <c r="AD68" s="158">
        <v>0.43</v>
      </c>
      <c r="AE68" s="15" t="s">
        <v>100</v>
      </c>
      <c r="AH68" s="15" t="s">
        <v>108</v>
      </c>
      <c r="AI68" s="15" t="s">
        <v>108</v>
      </c>
      <c r="AJ68" s="15" t="s">
        <v>105</v>
      </c>
      <c r="AK68" s="15" t="s">
        <v>133</v>
      </c>
    </row>
    <row r="69" spans="3:37" x14ac:dyDescent="0.4">
      <c r="AB69" s="15" t="s">
        <v>151</v>
      </c>
      <c r="AC69" s="158">
        <v>0</v>
      </c>
      <c r="AD69" s="158">
        <v>0.2</v>
      </c>
      <c r="AE69" s="15" t="s">
        <v>101</v>
      </c>
      <c r="AF69" s="15" t="s">
        <v>111</v>
      </c>
      <c r="AH69" s="15" t="s">
        <v>108</v>
      </c>
      <c r="AI69" s="15" t="s">
        <v>108</v>
      </c>
      <c r="AJ69" s="15" t="s">
        <v>98</v>
      </c>
      <c r="AK69" s="15" t="s">
        <v>133</v>
      </c>
    </row>
    <row r="70" spans="3:37" x14ac:dyDescent="0.4">
      <c r="AB70" s="15" t="s">
        <v>153</v>
      </c>
      <c r="AC70" s="158">
        <v>27.400001</v>
      </c>
      <c r="AD70" s="158">
        <v>10000000</v>
      </c>
      <c r="AE70" s="15" t="s">
        <v>98</v>
      </c>
      <c r="AF70" s="15" t="s">
        <v>141</v>
      </c>
      <c r="AH70" s="15" t="s">
        <v>108</v>
      </c>
      <c r="AI70" s="15" t="s">
        <v>105</v>
      </c>
      <c r="AJ70" s="15" t="s">
        <v>101</v>
      </c>
      <c r="AK70" s="15" t="s">
        <v>102</v>
      </c>
    </row>
    <row r="71" spans="3:37" x14ac:dyDescent="0.4">
      <c r="AB71" s="15" t="s">
        <v>153</v>
      </c>
      <c r="AC71" s="158">
        <v>23.1</v>
      </c>
      <c r="AD71" s="158">
        <v>27.400001</v>
      </c>
      <c r="AE71" s="15" t="s">
        <v>105</v>
      </c>
      <c r="AH71" s="15" t="s">
        <v>108</v>
      </c>
      <c r="AI71" s="15" t="s">
        <v>105</v>
      </c>
      <c r="AJ71" s="15" t="s">
        <v>100</v>
      </c>
      <c r="AK71" s="15" t="s">
        <v>102</v>
      </c>
    </row>
    <row r="72" spans="3:37" x14ac:dyDescent="0.4">
      <c r="AB72" s="15" t="s">
        <v>153</v>
      </c>
      <c r="AC72" s="158">
        <v>18.8</v>
      </c>
      <c r="AD72" s="158">
        <v>23.1</v>
      </c>
      <c r="AE72" s="15" t="s">
        <v>108</v>
      </c>
      <c r="AH72" s="15" t="s">
        <v>108</v>
      </c>
      <c r="AI72" s="15" t="s">
        <v>105</v>
      </c>
      <c r="AJ72" s="15" t="s">
        <v>108</v>
      </c>
      <c r="AK72" s="15" t="s">
        <v>133</v>
      </c>
    </row>
    <row r="73" spans="3:37" x14ac:dyDescent="0.4">
      <c r="AB73" s="15" t="s">
        <v>153</v>
      </c>
      <c r="AC73" s="158">
        <v>10.4</v>
      </c>
      <c r="AD73" s="158">
        <v>18.8</v>
      </c>
      <c r="AE73" s="15" t="s">
        <v>100</v>
      </c>
      <c r="AH73" s="15" t="s">
        <v>108</v>
      </c>
      <c r="AI73" s="15" t="s">
        <v>105</v>
      </c>
      <c r="AJ73" s="15" t="s">
        <v>105</v>
      </c>
      <c r="AK73" s="15" t="s">
        <v>133</v>
      </c>
    </row>
    <row r="74" spans="3:37" x14ac:dyDescent="0.4">
      <c r="AB74" s="15" t="s">
        <v>153</v>
      </c>
      <c r="AC74" s="158">
        <v>0</v>
      </c>
      <c r="AD74" s="158">
        <v>10.4</v>
      </c>
      <c r="AE74" s="15" t="s">
        <v>101</v>
      </c>
      <c r="AF74" s="15" t="s">
        <v>111</v>
      </c>
      <c r="AH74" s="15" t="s">
        <v>108</v>
      </c>
      <c r="AI74" s="15" t="s">
        <v>105</v>
      </c>
      <c r="AJ74" s="15" t="s">
        <v>98</v>
      </c>
      <c r="AK74" s="15" t="s">
        <v>133</v>
      </c>
    </row>
    <row r="75" spans="3:37" x14ac:dyDescent="0.4">
      <c r="AB75" s="15" t="s">
        <v>154</v>
      </c>
      <c r="AC75" s="158">
        <v>9.6000010000000007</v>
      </c>
      <c r="AD75" s="158">
        <v>10000000</v>
      </c>
      <c r="AE75" s="15" t="s">
        <v>98</v>
      </c>
      <c r="AF75" s="15" t="s">
        <v>141</v>
      </c>
      <c r="AH75" s="15" t="s">
        <v>108</v>
      </c>
      <c r="AI75" s="15" t="s">
        <v>98</v>
      </c>
      <c r="AJ75" s="15" t="s">
        <v>101</v>
      </c>
      <c r="AK75" s="15" t="s">
        <v>102</v>
      </c>
    </row>
    <row r="76" spans="3:37" x14ac:dyDescent="0.4">
      <c r="AB76" s="15" t="s">
        <v>154</v>
      </c>
      <c r="AC76" s="158">
        <v>7.5</v>
      </c>
      <c r="AD76" s="158">
        <v>9.6000010000000007</v>
      </c>
      <c r="AE76" s="15" t="s">
        <v>105</v>
      </c>
      <c r="AH76" s="15" t="s">
        <v>108</v>
      </c>
      <c r="AI76" s="15" t="s">
        <v>98</v>
      </c>
      <c r="AJ76" s="15" t="s">
        <v>100</v>
      </c>
      <c r="AK76" s="15" t="s">
        <v>102</v>
      </c>
    </row>
    <row r="77" spans="3:37" x14ac:dyDescent="0.4">
      <c r="AB77" s="15" t="s">
        <v>154</v>
      </c>
      <c r="AC77" s="158">
        <v>6.2</v>
      </c>
      <c r="AD77" s="158">
        <v>7.5</v>
      </c>
      <c r="AE77" s="15" t="s">
        <v>108</v>
      </c>
      <c r="AH77" s="15" t="s">
        <v>108</v>
      </c>
      <c r="AI77" s="15" t="s">
        <v>98</v>
      </c>
      <c r="AJ77" s="15" t="s">
        <v>108</v>
      </c>
      <c r="AK77" s="15" t="s">
        <v>133</v>
      </c>
    </row>
    <row r="78" spans="3:37" x14ac:dyDescent="0.4">
      <c r="AB78" s="15" t="s">
        <v>154</v>
      </c>
      <c r="AC78" s="158">
        <v>4.5</v>
      </c>
      <c r="AD78" s="158">
        <v>6.2</v>
      </c>
      <c r="AE78" s="15" t="s">
        <v>100</v>
      </c>
      <c r="AH78" s="15" t="s">
        <v>108</v>
      </c>
      <c r="AI78" s="15" t="s">
        <v>98</v>
      </c>
      <c r="AJ78" s="15" t="s">
        <v>105</v>
      </c>
      <c r="AK78" s="15" t="s">
        <v>133</v>
      </c>
    </row>
    <row r="79" spans="3:37" x14ac:dyDescent="0.4">
      <c r="AB79" s="15" t="s">
        <v>154</v>
      </c>
      <c r="AC79" s="158">
        <v>0</v>
      </c>
      <c r="AD79" s="158">
        <v>4.5</v>
      </c>
      <c r="AE79" s="15" t="s">
        <v>101</v>
      </c>
      <c r="AF79" s="15" t="s">
        <v>111</v>
      </c>
      <c r="AH79" s="15" t="s">
        <v>108</v>
      </c>
      <c r="AI79" s="15" t="s">
        <v>98</v>
      </c>
      <c r="AJ79" s="15" t="s">
        <v>98</v>
      </c>
      <c r="AK79" s="15" t="s">
        <v>133</v>
      </c>
    </row>
    <row r="80" spans="3:37" x14ac:dyDescent="0.4">
      <c r="AB80" s="15" t="s">
        <v>155</v>
      </c>
      <c r="AC80" s="158">
        <v>0</v>
      </c>
      <c r="AD80" s="158">
        <v>2</v>
      </c>
      <c r="AE80" s="15" t="s">
        <v>98</v>
      </c>
      <c r="AH80" s="15" t="s">
        <v>105</v>
      </c>
      <c r="AI80" s="15" t="s">
        <v>101</v>
      </c>
      <c r="AJ80" s="15" t="s">
        <v>101</v>
      </c>
      <c r="AK80" s="15" t="s">
        <v>102</v>
      </c>
    </row>
    <row r="81" spans="28:37" x14ac:dyDescent="0.4">
      <c r="AB81" s="15" t="s">
        <v>155</v>
      </c>
      <c r="AC81" s="158">
        <v>2</v>
      </c>
      <c r="AD81" s="158">
        <v>3</v>
      </c>
      <c r="AE81" s="15" t="s">
        <v>105</v>
      </c>
      <c r="AH81" s="15" t="s">
        <v>105</v>
      </c>
      <c r="AI81" s="15" t="s">
        <v>101</v>
      </c>
      <c r="AJ81" s="15" t="s">
        <v>100</v>
      </c>
      <c r="AK81" s="15" t="s">
        <v>102</v>
      </c>
    </row>
    <row r="82" spans="28:37" x14ac:dyDescent="0.4">
      <c r="AB82" s="15" t="s">
        <v>155</v>
      </c>
      <c r="AC82" s="158">
        <v>3</v>
      </c>
      <c r="AD82" s="158">
        <v>4</v>
      </c>
      <c r="AE82" s="15" t="s">
        <v>108</v>
      </c>
      <c r="AH82" s="15" t="s">
        <v>105</v>
      </c>
      <c r="AI82" s="15" t="s">
        <v>101</v>
      </c>
      <c r="AJ82" s="15" t="s">
        <v>108</v>
      </c>
      <c r="AK82" s="15" t="s">
        <v>102</v>
      </c>
    </row>
    <row r="83" spans="28:37" x14ac:dyDescent="0.4">
      <c r="AB83" s="15" t="s">
        <v>155</v>
      </c>
      <c r="AC83" s="158">
        <v>4</v>
      </c>
      <c r="AD83" s="158">
        <v>6</v>
      </c>
      <c r="AE83" s="15" t="s">
        <v>100</v>
      </c>
      <c r="AH83" s="15" t="s">
        <v>105</v>
      </c>
      <c r="AI83" s="15" t="s">
        <v>101</v>
      </c>
      <c r="AJ83" s="15" t="s">
        <v>105</v>
      </c>
      <c r="AK83" s="15" t="s">
        <v>102</v>
      </c>
    </row>
    <row r="84" spans="28:37" x14ac:dyDescent="0.4">
      <c r="AB84" s="15" t="s">
        <v>155</v>
      </c>
      <c r="AC84" s="159">
        <v>6</v>
      </c>
      <c r="AD84" s="159">
        <v>1000</v>
      </c>
      <c r="AE84" s="15" t="s">
        <v>101</v>
      </c>
      <c r="AF84" s="15" t="s">
        <v>141</v>
      </c>
      <c r="AH84" s="15" t="s">
        <v>105</v>
      </c>
      <c r="AI84" s="15" t="s">
        <v>101</v>
      </c>
      <c r="AJ84" s="15" t="s">
        <v>98</v>
      </c>
      <c r="AK84" s="15" t="s">
        <v>102</v>
      </c>
    </row>
    <row r="85" spans="28:37" x14ac:dyDescent="0.4">
      <c r="AH85" s="15" t="s">
        <v>105</v>
      </c>
      <c r="AI85" s="15" t="s">
        <v>100</v>
      </c>
      <c r="AJ85" s="15" t="s">
        <v>101</v>
      </c>
      <c r="AK85" s="15" t="s">
        <v>102</v>
      </c>
    </row>
    <row r="86" spans="28:37" x14ac:dyDescent="0.4">
      <c r="AB86" s="18" t="s">
        <v>118</v>
      </c>
      <c r="AH86" s="15" t="s">
        <v>105</v>
      </c>
      <c r="AI86" s="15" t="s">
        <v>100</v>
      </c>
      <c r="AJ86" s="15" t="s">
        <v>100</v>
      </c>
      <c r="AK86" s="15" t="s">
        <v>102</v>
      </c>
    </row>
    <row r="87" spans="28:37" x14ac:dyDescent="0.4">
      <c r="AH87" s="15" t="s">
        <v>105</v>
      </c>
      <c r="AI87" s="15" t="s">
        <v>100</v>
      </c>
      <c r="AJ87" s="15" t="s">
        <v>108</v>
      </c>
      <c r="AK87" s="15" t="s">
        <v>102</v>
      </c>
    </row>
    <row r="88" spans="28:37" x14ac:dyDescent="0.4">
      <c r="AB88" s="15" t="s">
        <v>87</v>
      </c>
      <c r="AC88" s="82" t="s">
        <v>119</v>
      </c>
      <c r="AD88" s="15" t="s">
        <v>120</v>
      </c>
      <c r="AE88" s="15" t="s">
        <v>121</v>
      </c>
      <c r="AF88" s="15" t="s">
        <v>56</v>
      </c>
      <c r="AH88" s="15" t="s">
        <v>105</v>
      </c>
      <c r="AI88" s="15" t="s">
        <v>100</v>
      </c>
      <c r="AJ88" s="15" t="s">
        <v>105</v>
      </c>
      <c r="AK88" s="15" t="s">
        <v>102</v>
      </c>
    </row>
    <row r="89" spans="28:37" x14ac:dyDescent="0.4">
      <c r="AB89" s="15" t="s">
        <v>101</v>
      </c>
      <c r="AC89" s="15">
        <v>4.0000099999999996</v>
      </c>
      <c r="AD89" s="15">
        <v>6</v>
      </c>
      <c r="AE89" s="42">
        <v>5</v>
      </c>
      <c r="AF89" s="15" t="s">
        <v>99</v>
      </c>
      <c r="AH89" s="15" t="s">
        <v>105</v>
      </c>
      <c r="AI89" s="15" t="s">
        <v>100</v>
      </c>
      <c r="AJ89" s="15" t="s">
        <v>98</v>
      </c>
      <c r="AK89" s="15" t="s">
        <v>102</v>
      </c>
    </row>
    <row r="90" spans="28:37" x14ac:dyDescent="0.4">
      <c r="AB90" s="15" t="s">
        <v>100</v>
      </c>
      <c r="AC90" s="15">
        <v>3.1</v>
      </c>
      <c r="AD90" s="15">
        <v>4.0000099999999996</v>
      </c>
      <c r="AE90" s="42">
        <v>4</v>
      </c>
      <c r="AH90" s="15" t="s">
        <v>105</v>
      </c>
      <c r="AI90" s="15" t="s">
        <v>108</v>
      </c>
      <c r="AJ90" s="15" t="s">
        <v>101</v>
      </c>
      <c r="AK90" s="15" t="s">
        <v>102</v>
      </c>
    </row>
    <row r="91" spans="28:37" x14ac:dyDescent="0.4">
      <c r="AB91" s="15" t="s">
        <v>108</v>
      </c>
      <c r="AC91" s="15">
        <v>2.1</v>
      </c>
      <c r="AD91" s="15">
        <v>3.09999</v>
      </c>
      <c r="AE91" s="42">
        <v>3</v>
      </c>
      <c r="AH91" s="15" t="s">
        <v>105</v>
      </c>
      <c r="AI91" s="15" t="s">
        <v>108</v>
      </c>
      <c r="AJ91" s="15" t="s">
        <v>100</v>
      </c>
      <c r="AK91" s="15" t="s">
        <v>102</v>
      </c>
    </row>
    <row r="92" spans="28:37" x14ac:dyDescent="0.4">
      <c r="AB92" s="15" t="s">
        <v>105</v>
      </c>
      <c r="AC92" s="15">
        <v>1.1000000000000001</v>
      </c>
      <c r="AD92" s="15">
        <v>2.09999</v>
      </c>
      <c r="AE92" s="42">
        <v>2</v>
      </c>
      <c r="AH92" s="15" t="s">
        <v>105</v>
      </c>
      <c r="AI92" s="15" t="s">
        <v>108</v>
      </c>
      <c r="AJ92" s="15" t="s">
        <v>108</v>
      </c>
      <c r="AK92" s="15" t="s">
        <v>133</v>
      </c>
    </row>
    <row r="93" spans="28:37" x14ac:dyDescent="0.4">
      <c r="AB93" s="15" t="s">
        <v>98</v>
      </c>
      <c r="AC93" s="15">
        <v>0</v>
      </c>
      <c r="AD93" s="15">
        <v>1.09999</v>
      </c>
      <c r="AE93" s="42">
        <v>1</v>
      </c>
      <c r="AF93" s="15" t="s">
        <v>123</v>
      </c>
      <c r="AH93" s="15" t="s">
        <v>105</v>
      </c>
      <c r="AI93" s="15" t="s">
        <v>108</v>
      </c>
      <c r="AJ93" s="15" t="s">
        <v>105</v>
      </c>
      <c r="AK93" s="15" t="s">
        <v>133</v>
      </c>
    </row>
    <row r="94" spans="28:37" x14ac:dyDescent="0.4">
      <c r="AH94" s="15" t="s">
        <v>105</v>
      </c>
      <c r="AI94" s="15" t="s">
        <v>108</v>
      </c>
      <c r="AJ94" s="15" t="s">
        <v>98</v>
      </c>
      <c r="AK94" s="15" t="s">
        <v>133</v>
      </c>
    </row>
    <row r="95" spans="28:37" x14ac:dyDescent="0.4">
      <c r="AH95" s="15" t="s">
        <v>105</v>
      </c>
      <c r="AI95" s="15" t="s">
        <v>105</v>
      </c>
      <c r="AJ95" s="15" t="s">
        <v>101</v>
      </c>
      <c r="AK95" s="15" t="s">
        <v>102</v>
      </c>
    </row>
    <row r="96" spans="28:37" x14ac:dyDescent="0.4">
      <c r="AH96" s="15" t="s">
        <v>105</v>
      </c>
      <c r="AI96" s="15" t="s">
        <v>105</v>
      </c>
      <c r="AJ96" s="15" t="s">
        <v>100</v>
      </c>
      <c r="AK96" s="15" t="s">
        <v>102</v>
      </c>
    </row>
    <row r="97" spans="34:37" x14ac:dyDescent="0.4">
      <c r="AH97" s="15" t="s">
        <v>105</v>
      </c>
      <c r="AI97" s="15" t="s">
        <v>105</v>
      </c>
      <c r="AJ97" s="15" t="s">
        <v>108</v>
      </c>
      <c r="AK97" s="15" t="s">
        <v>133</v>
      </c>
    </row>
    <row r="98" spans="34:37" x14ac:dyDescent="0.4">
      <c r="AH98" s="15" t="s">
        <v>105</v>
      </c>
      <c r="AI98" s="15" t="s">
        <v>105</v>
      </c>
      <c r="AJ98" s="15" t="s">
        <v>105</v>
      </c>
      <c r="AK98" s="15" t="s">
        <v>133</v>
      </c>
    </row>
    <row r="99" spans="34:37" x14ac:dyDescent="0.4">
      <c r="AH99" s="15" t="s">
        <v>105</v>
      </c>
      <c r="AI99" s="15" t="s">
        <v>105</v>
      </c>
      <c r="AJ99" s="15" t="s">
        <v>98</v>
      </c>
      <c r="AK99" s="15" t="s">
        <v>133</v>
      </c>
    </row>
    <row r="100" spans="34:37" x14ac:dyDescent="0.4">
      <c r="AH100" s="15" t="s">
        <v>105</v>
      </c>
      <c r="AI100" s="15" t="s">
        <v>98</v>
      </c>
      <c r="AJ100" s="15" t="s">
        <v>101</v>
      </c>
      <c r="AK100" s="15" t="s">
        <v>102</v>
      </c>
    </row>
    <row r="101" spans="34:37" x14ac:dyDescent="0.4">
      <c r="AH101" s="15" t="s">
        <v>105</v>
      </c>
      <c r="AI101" s="15" t="s">
        <v>98</v>
      </c>
      <c r="AJ101" s="15" t="s">
        <v>100</v>
      </c>
      <c r="AK101" s="15" t="s">
        <v>102</v>
      </c>
    </row>
    <row r="102" spans="34:37" x14ac:dyDescent="0.4">
      <c r="AH102" s="15" t="s">
        <v>105</v>
      </c>
      <c r="AI102" s="15" t="s">
        <v>98</v>
      </c>
      <c r="AJ102" s="15" t="s">
        <v>108</v>
      </c>
      <c r="AK102" s="15" t="s">
        <v>133</v>
      </c>
    </row>
    <row r="103" spans="34:37" x14ac:dyDescent="0.4">
      <c r="AH103" s="15" t="s">
        <v>105</v>
      </c>
      <c r="AI103" s="15" t="s">
        <v>98</v>
      </c>
      <c r="AJ103" s="15" t="s">
        <v>105</v>
      </c>
      <c r="AK103" s="15" t="s">
        <v>133</v>
      </c>
    </row>
    <row r="104" spans="34:37" x14ac:dyDescent="0.4">
      <c r="AH104" s="15" t="s">
        <v>105</v>
      </c>
      <c r="AI104" s="15" t="s">
        <v>98</v>
      </c>
      <c r="AJ104" s="15" t="s">
        <v>98</v>
      </c>
      <c r="AK104" s="15" t="s">
        <v>133</v>
      </c>
    </row>
    <row r="105" spans="34:37" x14ac:dyDescent="0.4">
      <c r="AH105" s="15" t="s">
        <v>98</v>
      </c>
      <c r="AI105" s="15" t="s">
        <v>101</v>
      </c>
      <c r="AJ105" s="15" t="s">
        <v>101</v>
      </c>
      <c r="AK105" s="15" t="s">
        <v>102</v>
      </c>
    </row>
    <row r="106" spans="34:37" x14ac:dyDescent="0.4">
      <c r="AH106" s="15" t="s">
        <v>98</v>
      </c>
      <c r="AI106" s="15" t="s">
        <v>101</v>
      </c>
      <c r="AJ106" s="15" t="s">
        <v>100</v>
      </c>
      <c r="AK106" s="15" t="s">
        <v>102</v>
      </c>
    </row>
    <row r="107" spans="34:37" x14ac:dyDescent="0.4">
      <c r="AH107" s="15" t="s">
        <v>98</v>
      </c>
      <c r="AI107" s="15" t="s">
        <v>101</v>
      </c>
      <c r="AJ107" s="15" t="s">
        <v>108</v>
      </c>
      <c r="AK107" s="15" t="s">
        <v>102</v>
      </c>
    </row>
    <row r="108" spans="34:37" x14ac:dyDescent="0.4">
      <c r="AH108" s="15" t="s">
        <v>98</v>
      </c>
      <c r="AI108" s="15" t="s">
        <v>101</v>
      </c>
      <c r="AJ108" s="15" t="s">
        <v>105</v>
      </c>
      <c r="AK108" s="15" t="s">
        <v>102</v>
      </c>
    </row>
    <row r="109" spans="34:37" x14ac:dyDescent="0.4">
      <c r="AH109" s="15" t="s">
        <v>98</v>
      </c>
      <c r="AI109" s="15" t="s">
        <v>101</v>
      </c>
      <c r="AJ109" s="15" t="s">
        <v>98</v>
      </c>
      <c r="AK109" s="15" t="s">
        <v>102</v>
      </c>
    </row>
    <row r="110" spans="34:37" x14ac:dyDescent="0.4">
      <c r="AH110" s="15" t="s">
        <v>98</v>
      </c>
      <c r="AI110" s="15" t="s">
        <v>100</v>
      </c>
      <c r="AJ110" s="15" t="s">
        <v>101</v>
      </c>
      <c r="AK110" s="15" t="s">
        <v>102</v>
      </c>
    </row>
    <row r="111" spans="34:37" x14ac:dyDescent="0.4">
      <c r="AH111" s="15" t="s">
        <v>98</v>
      </c>
      <c r="AI111" s="15" t="s">
        <v>100</v>
      </c>
      <c r="AJ111" s="15" t="s">
        <v>100</v>
      </c>
      <c r="AK111" s="15" t="s">
        <v>102</v>
      </c>
    </row>
    <row r="112" spans="34:37" x14ac:dyDescent="0.4">
      <c r="AH112" s="15" t="s">
        <v>98</v>
      </c>
      <c r="AI112" s="15" t="s">
        <v>100</v>
      </c>
      <c r="AJ112" s="15" t="s">
        <v>108</v>
      </c>
      <c r="AK112" s="15" t="s">
        <v>102</v>
      </c>
    </row>
    <row r="113" spans="34:37" x14ac:dyDescent="0.4">
      <c r="AH113" s="15" t="s">
        <v>98</v>
      </c>
      <c r="AI113" s="15" t="s">
        <v>100</v>
      </c>
      <c r="AJ113" s="15" t="s">
        <v>105</v>
      </c>
      <c r="AK113" s="15" t="s">
        <v>102</v>
      </c>
    </row>
    <row r="114" spans="34:37" x14ac:dyDescent="0.4">
      <c r="AH114" s="15" t="s">
        <v>98</v>
      </c>
      <c r="AI114" s="15" t="s">
        <v>100</v>
      </c>
      <c r="AJ114" s="15" t="s">
        <v>98</v>
      </c>
      <c r="AK114" s="15" t="s">
        <v>102</v>
      </c>
    </row>
    <row r="115" spans="34:37" x14ac:dyDescent="0.4">
      <c r="AH115" s="15" t="s">
        <v>98</v>
      </c>
      <c r="AI115" s="15" t="s">
        <v>108</v>
      </c>
      <c r="AJ115" s="15" t="s">
        <v>101</v>
      </c>
      <c r="AK115" s="15" t="s">
        <v>102</v>
      </c>
    </row>
    <row r="116" spans="34:37" x14ac:dyDescent="0.4">
      <c r="AH116" s="15" t="s">
        <v>98</v>
      </c>
      <c r="AI116" s="15" t="s">
        <v>108</v>
      </c>
      <c r="AJ116" s="15" t="s">
        <v>100</v>
      </c>
      <c r="AK116" s="15" t="s">
        <v>102</v>
      </c>
    </row>
    <row r="117" spans="34:37" x14ac:dyDescent="0.4">
      <c r="AH117" s="15" t="s">
        <v>98</v>
      </c>
      <c r="AI117" s="15" t="s">
        <v>108</v>
      </c>
      <c r="AJ117" s="15" t="s">
        <v>108</v>
      </c>
      <c r="AK117" s="15" t="s">
        <v>133</v>
      </c>
    </row>
    <row r="118" spans="34:37" x14ac:dyDescent="0.4">
      <c r="AH118" s="15" t="s">
        <v>98</v>
      </c>
      <c r="AI118" s="15" t="s">
        <v>108</v>
      </c>
      <c r="AJ118" s="15" t="s">
        <v>105</v>
      </c>
      <c r="AK118" s="15" t="s">
        <v>133</v>
      </c>
    </row>
    <row r="119" spans="34:37" x14ac:dyDescent="0.4">
      <c r="AH119" s="15" t="s">
        <v>98</v>
      </c>
      <c r="AI119" s="15" t="s">
        <v>108</v>
      </c>
      <c r="AJ119" s="15" t="s">
        <v>98</v>
      </c>
      <c r="AK119" s="15" t="s">
        <v>133</v>
      </c>
    </row>
    <row r="120" spans="34:37" x14ac:dyDescent="0.4">
      <c r="AH120" s="15" t="s">
        <v>98</v>
      </c>
      <c r="AI120" s="15" t="s">
        <v>105</v>
      </c>
      <c r="AJ120" s="15" t="s">
        <v>101</v>
      </c>
      <c r="AK120" s="15" t="s">
        <v>102</v>
      </c>
    </row>
    <row r="121" spans="34:37" x14ac:dyDescent="0.4">
      <c r="AH121" s="15" t="s">
        <v>98</v>
      </c>
      <c r="AI121" s="15" t="s">
        <v>105</v>
      </c>
      <c r="AJ121" s="15" t="s">
        <v>100</v>
      </c>
      <c r="AK121" s="15" t="s">
        <v>102</v>
      </c>
    </row>
    <row r="122" spans="34:37" x14ac:dyDescent="0.4">
      <c r="AH122" s="15" t="s">
        <v>98</v>
      </c>
      <c r="AI122" s="15" t="s">
        <v>105</v>
      </c>
      <c r="AJ122" s="15" t="s">
        <v>108</v>
      </c>
      <c r="AK122" s="15" t="s">
        <v>133</v>
      </c>
    </row>
    <row r="123" spans="34:37" x14ac:dyDescent="0.4">
      <c r="AH123" s="15" t="s">
        <v>98</v>
      </c>
      <c r="AI123" s="15" t="s">
        <v>105</v>
      </c>
      <c r="AJ123" s="15" t="s">
        <v>105</v>
      </c>
      <c r="AK123" s="15" t="s">
        <v>133</v>
      </c>
    </row>
    <row r="124" spans="34:37" x14ac:dyDescent="0.4">
      <c r="AH124" s="15" t="s">
        <v>98</v>
      </c>
      <c r="AI124" s="15" t="s">
        <v>105</v>
      </c>
      <c r="AJ124" s="15" t="s">
        <v>98</v>
      </c>
      <c r="AK124" s="15" t="s">
        <v>133</v>
      </c>
    </row>
    <row r="125" spans="34:37" x14ac:dyDescent="0.4">
      <c r="AH125" s="15" t="s">
        <v>98</v>
      </c>
      <c r="AI125" s="15" t="s">
        <v>98</v>
      </c>
      <c r="AJ125" s="15" t="s">
        <v>101</v>
      </c>
      <c r="AK125" s="15" t="s">
        <v>102</v>
      </c>
    </row>
    <row r="126" spans="34:37" x14ac:dyDescent="0.4">
      <c r="AH126" s="15" t="s">
        <v>98</v>
      </c>
      <c r="AI126" s="15" t="s">
        <v>98</v>
      </c>
      <c r="AJ126" s="15" t="s">
        <v>100</v>
      </c>
      <c r="AK126" s="15" t="s">
        <v>102</v>
      </c>
    </row>
    <row r="127" spans="34:37" x14ac:dyDescent="0.4">
      <c r="AH127" s="15" t="s">
        <v>98</v>
      </c>
      <c r="AI127" s="15" t="s">
        <v>98</v>
      </c>
      <c r="AJ127" s="15" t="s">
        <v>108</v>
      </c>
      <c r="AK127" s="15" t="s">
        <v>133</v>
      </c>
    </row>
    <row r="128" spans="34:37" x14ac:dyDescent="0.4">
      <c r="AH128" s="15" t="s">
        <v>98</v>
      </c>
      <c r="AI128" s="15" t="s">
        <v>98</v>
      </c>
      <c r="AJ128" s="15" t="s">
        <v>105</v>
      </c>
      <c r="AK128" s="15" t="s">
        <v>133</v>
      </c>
    </row>
    <row r="129" spans="34:37" x14ac:dyDescent="0.4">
      <c r="AH129" s="15" t="s">
        <v>98</v>
      </c>
      <c r="AI129" s="15" t="s">
        <v>98</v>
      </c>
      <c r="AJ129" s="15" t="s">
        <v>98</v>
      </c>
      <c r="AK129" s="15" t="s">
        <v>133</v>
      </c>
    </row>
  </sheetData>
  <sheetProtection algorithmName="SHA-512" hashValue="o2uSlCZTngj149FOd3Q96CJlGxRBpNrGep3AQ3PwSakj4PSzoHxf/R6IPZAimAgXutvmn2b7M9bfrvJz4G2/sQ==" saltValue="gYjXJ+4XZHoRMU6xmvZxfA==" spinCount="100000" sheet="1" objects="1" scenarios="1"/>
  <phoneticPr fontId="6" type="noConversion"/>
  <dataValidations count="1">
    <dataValidation type="date" allowBlank="1" showInputMessage="1" showErrorMessage="1" sqref="D5:D40" xr:uid="{89CA9CB3-6F16-4063-A1A7-A1A8E9E55694}">
      <formula1>43831</formula1>
      <formula2>73051</formula2>
    </dataValidation>
  </dataValidations>
  <pageMargins left="0.7" right="0.7" top="0.75" bottom="0.75" header="0.3" footer="0.3"/>
  <pageSetup orientation="portrait" r:id="rId1"/>
  <ignoredErrors>
    <ignoredError sqref="F45:F50 F52:F53 D58:D60" calculatedColumn="1"/>
    <ignoredError sqref="F51" formulaRange="1" calculatedColumn="1"/>
    <ignoredError sqref="H17:H40" unlockedFormula="1"/>
  </ignoredErrors>
  <drawing r:id="rId2"/>
  <tableParts count="7">
    <tablePart r:id="rId3"/>
    <tablePart r:id="rId4"/>
    <tablePart r:id="rId5"/>
    <tablePart r:id="rId6"/>
    <tablePart r:id="rId7"/>
    <tablePart r:id="rId8"/>
    <tablePart r:id="rId9"/>
  </tableParts>
  <extLst>
    <ext xmlns:x14="http://schemas.microsoft.com/office/spreadsheetml/2009/9/main" uri="{CCE6A557-97BC-4b89-ADB6-D9C93CAAB3DF}">
      <x14:dataValidations xmlns:xm="http://schemas.microsoft.com/office/excel/2006/main" count="1">
        <x14:dataValidation type="list" allowBlank="1" showInputMessage="1" showErrorMessage="1" xr:uid="{C3B1F45F-BA66-430C-99FD-7745918AA9F5}">
          <x14:formula1>
            <xm:f>'Dropdown tables - Production'!$Z$2:$Z$16</xm:f>
          </x14:formula1>
          <xm:sqref>E29 E5 E17</xm:sqref>
        </x14:dataValidation>
      </x14:dataValidations>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5564E7-88F1-469D-8FBE-B677C2D1141D}">
  <sheetPr codeName="Sheet22">
    <tabColor theme="9" tint="0.59999389629810485"/>
  </sheetPr>
  <dimension ref="C2:AD270"/>
  <sheetViews>
    <sheetView zoomScale="80" zoomScaleNormal="80" workbookViewId="0"/>
  </sheetViews>
  <sheetFormatPr defaultColWidth="9" defaultRowHeight="16.8" x14ac:dyDescent="0.4"/>
  <cols>
    <col min="1" max="1" width="9" style="15"/>
    <col min="2" max="2" width="0" style="15" hidden="1" customWidth="1"/>
    <col min="3" max="3" width="22.5546875" style="15" customWidth="1"/>
    <col min="4" max="4" width="25.21875" style="15" bestFit="1" customWidth="1"/>
    <col min="5" max="5" width="29.44140625" style="15" bestFit="1" customWidth="1"/>
    <col min="6" max="6" width="28" style="15" bestFit="1" customWidth="1"/>
    <col min="7" max="7" width="24.88671875" style="15" bestFit="1" customWidth="1"/>
    <col min="8" max="8" width="21.88671875" style="15" bestFit="1" customWidth="1"/>
    <col min="9" max="9" width="21.109375" style="15" bestFit="1" customWidth="1"/>
    <col min="10" max="10" width="19" style="15" bestFit="1" customWidth="1"/>
    <col min="11" max="11" width="19.5546875" style="42" customWidth="1"/>
    <col min="12" max="12" width="17.21875" style="15" customWidth="1"/>
    <col min="13" max="13" width="14" style="15" customWidth="1"/>
    <col min="14" max="14" width="27" style="15" customWidth="1"/>
    <col min="15" max="15" width="19.77734375" style="15" customWidth="1"/>
    <col min="16" max="16" width="10.77734375" style="15" customWidth="1"/>
    <col min="17" max="17" width="28.21875" style="15" customWidth="1"/>
    <col min="18" max="18" width="31.77734375" style="15" customWidth="1"/>
    <col min="19" max="19" width="9" style="15"/>
    <col min="20" max="21" width="9.109375" style="15" bestFit="1" customWidth="1"/>
    <col min="22" max="22" width="8.21875" style="15" bestFit="1" customWidth="1"/>
    <col min="23" max="23" width="24.21875" style="15" customWidth="1"/>
    <col min="24" max="24" width="16.33203125" style="15" customWidth="1"/>
    <col min="25" max="25" width="9" style="15" hidden="1" customWidth="1"/>
    <col min="26" max="26" width="14.77734375" style="15" hidden="1" customWidth="1"/>
    <col min="27" max="28" width="9" style="15" hidden="1" customWidth="1"/>
    <col min="29" max="29" width="16.44140625" style="15" hidden="1" customWidth="1"/>
    <col min="30" max="30" width="5.109375" style="15" hidden="1" customWidth="1"/>
    <col min="31" max="16384" width="9" style="15"/>
  </cols>
  <sheetData>
    <row r="2" spans="3:30" x14ac:dyDescent="0.4">
      <c r="C2" s="18" t="s">
        <v>187</v>
      </c>
      <c r="N2" s="18" t="s">
        <v>188</v>
      </c>
      <c r="Q2" s="18" t="s">
        <v>1931</v>
      </c>
    </row>
    <row r="3" spans="3:30" hidden="1" x14ac:dyDescent="0.4">
      <c r="C3" s="15">
        <v>9.1</v>
      </c>
      <c r="D3" s="15">
        <v>9.1999999999999993</v>
      </c>
      <c r="E3" s="15">
        <v>9.3000000000000007</v>
      </c>
      <c r="F3" s="15">
        <v>9.4</v>
      </c>
      <c r="G3" s="15">
        <v>9.5</v>
      </c>
      <c r="H3" s="15">
        <v>9.6</v>
      </c>
      <c r="I3" s="15">
        <v>9.6999999999999993</v>
      </c>
      <c r="J3" s="15">
        <v>9.8000000000000007</v>
      </c>
      <c r="K3" s="15">
        <v>9.9</v>
      </c>
      <c r="L3" s="15">
        <v>9.11</v>
      </c>
      <c r="N3" s="15">
        <v>9.17</v>
      </c>
      <c r="O3" s="15">
        <v>9.18</v>
      </c>
      <c r="Q3" s="15">
        <v>9.19</v>
      </c>
      <c r="R3" s="15">
        <v>9.2100000000000009</v>
      </c>
      <c r="S3" s="15">
        <v>9.2200000000000006</v>
      </c>
      <c r="T3" s="15">
        <v>9.23</v>
      </c>
      <c r="U3" s="15">
        <v>9.24</v>
      </c>
      <c r="V3" s="15">
        <v>9.25</v>
      </c>
      <c r="W3" s="15">
        <v>9.26</v>
      </c>
      <c r="X3" s="15">
        <v>9.27</v>
      </c>
      <c r="Y3" s="15">
        <v>9.2799999999999994</v>
      </c>
      <c r="Z3" s="15">
        <v>9.2899999999999991</v>
      </c>
      <c r="AA3" s="15">
        <v>9.3000000000000007</v>
      </c>
      <c r="AB3" s="15">
        <v>9.31</v>
      </c>
      <c r="AC3" s="15">
        <v>9.32</v>
      </c>
      <c r="AD3" s="15">
        <v>9.33</v>
      </c>
    </row>
    <row r="4" spans="3:30" s="17" customFormat="1" ht="33.6" x14ac:dyDescent="0.4">
      <c r="C4" s="49" t="s">
        <v>189</v>
      </c>
      <c r="D4" s="50" t="s">
        <v>190</v>
      </c>
      <c r="E4" s="49" t="s">
        <v>191</v>
      </c>
      <c r="F4" s="49" t="s">
        <v>192</v>
      </c>
      <c r="G4" s="49" t="s">
        <v>193</v>
      </c>
      <c r="H4" s="49" t="s">
        <v>194</v>
      </c>
      <c r="I4" s="49" t="s">
        <v>195</v>
      </c>
      <c r="J4" s="49" t="s">
        <v>196</v>
      </c>
      <c r="K4" s="51" t="s">
        <v>197</v>
      </c>
      <c r="L4" s="55" t="s">
        <v>56</v>
      </c>
      <c r="N4" s="52" t="s">
        <v>72</v>
      </c>
      <c r="O4" s="49" t="s">
        <v>198</v>
      </c>
      <c r="Q4" s="25" t="s">
        <v>72</v>
      </c>
      <c r="R4" s="25" t="s">
        <v>55</v>
      </c>
      <c r="S4" s="25" t="s">
        <v>199</v>
      </c>
      <c r="T4" s="25" t="s">
        <v>200</v>
      </c>
      <c r="U4" s="25" t="s">
        <v>201</v>
      </c>
      <c r="V4" s="25" t="s">
        <v>202</v>
      </c>
      <c r="W4" s="25" t="s">
        <v>203</v>
      </c>
      <c r="X4" s="25" t="s">
        <v>204</v>
      </c>
      <c r="Z4" s="15"/>
    </row>
    <row r="5" spans="3:30" x14ac:dyDescent="0.4">
      <c r="C5" s="31"/>
      <c r="D5" s="235"/>
      <c r="E5" s="236"/>
      <c r="F5" s="236"/>
      <c r="G5" s="236"/>
      <c r="H5" s="236"/>
      <c r="I5" s="31"/>
      <c r="J5" s="236"/>
      <c r="K5" s="30"/>
      <c r="L5" s="237"/>
      <c r="N5" s="19" t="str">
        <f>IF('Dropdown tables - Production'!G3= 0, "", 'Dropdown tables - Production'!G3)</f>
        <v/>
      </c>
      <c r="O5" s="31"/>
      <c r="Q5" s="19" t="str">
        <f>IF('Dropdown tables - Production'!G3= 0, "", 'Dropdown tables - Production'!G3)</f>
        <v/>
      </c>
      <c r="R5" s="27" t="str">
        <f>IF(Table11[[#This Row],[Species in production]]= "", "", SUMIFS(Table126[ASC certified net production volume (tonnes)],Table126[Species in production (Latin name) (select)],Feed!Q5))</f>
        <v/>
      </c>
      <c r="S5" s="27" t="str">
        <f>IFERROR((SUMIFS(Table7[Feed use (tonnes)],Table7[Species in production (select)],Table11[[#This Row],[Species in production]])/Table11[[#This Row],[ASC certified net production volume (tonnes)]]), "")</f>
        <v/>
      </c>
      <c r="T5" s="27" t="str" cm="1">
        <f t="array" ref="T5" xml:space="preserve"> IFERROR((((SUMPRODUCT((Q5=Table10[Species in production])*(Table10[Animal protein content (%)]))*R5)/100)/(SUMIFS(Table38[Protein fed per feed type (tonnes)], Table7[Species in production (select)],Table11[[#This Row],[Species in production]]))*100), "")</f>
        <v/>
      </c>
      <c r="U5" s="27" t="str">
        <f xml:space="preserve"> IFERROR((SUMIFS(Table38[FM%/yield*feed use], Table7[Species in production (select)],Table11[[#This Row],[Species in production]])/SUMIFS(Table7[Feed use (tonnes)],Table7[Species in production (select)], Table11[[#This Row],[Species in production]])*Table11[[#This Row],[eFCR]]), "")</f>
        <v/>
      </c>
      <c r="V5" s="27" t="str">
        <f xml:space="preserve"> IFERROR((SUMIFS(Table38[FO%/yield*feed use], Table7[Species in production (select)],Table11[[#This Row],[Species in production]])/SUMIFS(Table7[Feed use (tonnes)], Table7[Species in production (select)], Table11[[#This Row],[Species in production]])*Table11[[#This Row],[eFCR]]), "")</f>
        <v/>
      </c>
      <c r="W5" s="27" t="str">
        <f xml:space="preserve"> IFERROR((SUMIFS(Table38[total EPA and DHA in feed, per type (g)],Table7[Species in production (select)], Table11[[#This Row],[Species in production]])/(SUMIFS(Table7[Feed use (tonnes)],Table7[Species in production (select)], Table11[[#This Row],[Species in production]])*1000)), "")</f>
        <v/>
      </c>
      <c r="X5" s="27" t="str">
        <f>IFERROR((SUMIFS(Table38[EPA and DHA% * feed use],Table7[Species in production (select)], Table11[[#This Row],[Species in production]])/(SUMIFS(Table7[Feed use (tonnes)],Table7[Species in production (select)], Table11[[#This Row],[Species in production]]))), "")</f>
        <v/>
      </c>
    </row>
    <row r="6" spans="3:30" x14ac:dyDescent="0.4">
      <c r="C6" s="31"/>
      <c r="D6" s="235"/>
      <c r="E6" s="236"/>
      <c r="F6" s="236"/>
      <c r="G6" s="236"/>
      <c r="H6" s="236"/>
      <c r="I6" s="31"/>
      <c r="J6" s="236"/>
      <c r="K6" s="30"/>
      <c r="L6" s="237"/>
      <c r="N6" s="19" t="str">
        <f>IF('Dropdown tables - Production'!G4= 0, "", 'Dropdown tables - Production'!G4)</f>
        <v/>
      </c>
      <c r="O6" s="31"/>
      <c r="Q6" s="19" t="str">
        <f>IF('Dropdown tables - Production'!G4= 0, "", 'Dropdown tables - Production'!G4)</f>
        <v/>
      </c>
      <c r="R6" s="27" t="str">
        <f>IF(Table11[[#This Row],[Species in production]]= "", "", SUMIFS(Table126[ASC certified net production volume (tonnes)],Table126[Species in production (Latin name) (select)],Feed!Q6))</f>
        <v/>
      </c>
      <c r="S6" s="27" t="str">
        <f>IFERROR((SUMIFS(Table7[Feed use (tonnes)],Table7[Species in production (select)],Table11[[#This Row],[Species in production]])/Table11[[#This Row],[ASC certified net production volume (tonnes)]]), "")</f>
        <v/>
      </c>
      <c r="T6" s="27" t="str" cm="1">
        <f t="array" ref="T6" xml:space="preserve"> IFERROR((((SUMPRODUCT((Q6=Table10[Species in production])*(Table10[Animal protein content (%)]))*R6)/100)/(SUMIFS(Table38[Protein fed per feed type (tonnes)], Table7[Species in production (select)],Table11[[#This Row],[Species in production]]))*100), "")</f>
        <v/>
      </c>
      <c r="U6" s="27" t="str">
        <f xml:space="preserve"> IFERROR((SUMIFS(Table38[FM%/yield*feed use], Table7[Species in production (select)],Table11[[#This Row],[Species in production]])/SUMIFS(Table7[Feed use (tonnes)],Table7[Species in production (select)], Table11[[#This Row],[Species in production]])*Table11[[#This Row],[eFCR]]), "")</f>
        <v/>
      </c>
      <c r="V6" s="27" t="str">
        <f xml:space="preserve"> IFERROR((SUMIFS(Table38[FO%/yield*feed use], Table7[Species in production (select)],Table11[[#This Row],[Species in production]])/SUMIFS(Table7[Feed use (tonnes)], Table7[Species in production (select)], Table11[[#This Row],[Species in production]])*Table11[[#This Row],[eFCR]]), "")</f>
        <v/>
      </c>
      <c r="W6" s="27" t="str">
        <f xml:space="preserve"> IFERROR((SUMIFS(Table38[total EPA and DHA in feed, per type (g)],Table7[Species in production (select)], Table11[[#This Row],[Species in production]])/(SUMIFS(Table7[Feed use (tonnes)],Table7[Species in production (select)], Table11[[#This Row],[Species in production]])*1000)), "")</f>
        <v/>
      </c>
      <c r="X6" s="27" t="str">
        <f>IFERROR((SUMIFS(Table38[EPA and DHA% * feed use],Table7[Species in production (select)], Table11[[#This Row],[Species in production]])/(SUMIFS(Table7[Feed use (tonnes)],Table7[Species in production (select)], Table11[[#This Row],[Species in production]]))), "")</f>
        <v/>
      </c>
    </row>
    <row r="7" spans="3:30" x14ac:dyDescent="0.4">
      <c r="C7" s="31"/>
      <c r="D7" s="235"/>
      <c r="E7" s="236"/>
      <c r="F7" s="236"/>
      <c r="G7" s="236"/>
      <c r="H7" s="236"/>
      <c r="I7" s="31"/>
      <c r="J7" s="236"/>
      <c r="K7" s="30"/>
      <c r="L7" s="237"/>
      <c r="N7" s="19" t="str">
        <f>IF('Dropdown tables - Production'!G5= 0, "", 'Dropdown tables - Production'!G5)</f>
        <v/>
      </c>
      <c r="O7" s="31"/>
      <c r="Q7" s="19" t="str">
        <f>IF('Dropdown tables - Production'!G5= 0, "", 'Dropdown tables - Production'!G5)</f>
        <v/>
      </c>
      <c r="R7" s="27" t="str">
        <f>IF(Table11[[#This Row],[Species in production]]= "", "", SUMIFS(Table126[ASC certified net production volume (tonnes)],Table126[Species in production (Latin name) (select)],Feed!Q7))</f>
        <v/>
      </c>
      <c r="S7" s="27" t="str">
        <f>IFERROR((SUMIFS(Table7[Feed use (tonnes)],Table7[Species in production (select)],Table11[[#This Row],[Species in production]])/Table11[[#This Row],[ASC certified net production volume (tonnes)]]), "")</f>
        <v/>
      </c>
      <c r="T7" s="27" t="str" cm="1">
        <f t="array" ref="T7" xml:space="preserve"> IFERROR((((SUMPRODUCT((Q7=Table10[Species in production])*(Table10[Animal protein content (%)]))*R7)/100)/(SUMIFS(Table38[Protein fed per feed type (tonnes)], Table7[Species in production (select)],Table11[[#This Row],[Species in production]]))*100), "")</f>
        <v/>
      </c>
      <c r="U7" s="27" t="str">
        <f xml:space="preserve"> IFERROR((SUMIFS(Table38[FM%/yield*feed use], Table7[Species in production (select)],Table11[[#This Row],[Species in production]])/SUMIFS(Table7[Feed use (tonnes)],Table7[Species in production (select)], Table11[[#This Row],[Species in production]])*Table11[[#This Row],[eFCR]]), "")</f>
        <v/>
      </c>
      <c r="V7" s="27" t="str">
        <f xml:space="preserve"> IFERROR((SUMIFS(Table38[FO%/yield*feed use], Table7[Species in production (select)],Table11[[#This Row],[Species in production]])/SUMIFS(Table7[Feed use (tonnes)], Table7[Species in production (select)], Table11[[#This Row],[Species in production]])*Table11[[#This Row],[eFCR]]), "")</f>
        <v/>
      </c>
      <c r="W7" s="27" t="str">
        <f xml:space="preserve"> IFERROR((SUMIFS(Table38[total EPA and DHA in feed, per type (g)],Table7[Species in production (select)], Table11[[#This Row],[Species in production]])/(SUMIFS(Table7[Feed use (tonnes)],Table7[Species in production (select)], Table11[[#This Row],[Species in production]])*1000)), "")</f>
        <v/>
      </c>
      <c r="X7" s="27" t="str">
        <f>IFERROR((SUMIFS(Table38[EPA and DHA% * feed use],Table7[Species in production (select)], Table11[[#This Row],[Species in production]])/(SUMIFS(Table7[Feed use (tonnes)],Table7[Species in production (select)], Table11[[#This Row],[Species in production]]))), "")</f>
        <v/>
      </c>
    </row>
    <row r="8" spans="3:30" x14ac:dyDescent="0.4">
      <c r="C8" s="31"/>
      <c r="D8" s="235"/>
      <c r="E8" s="236"/>
      <c r="F8" s="236"/>
      <c r="G8" s="236"/>
      <c r="H8" s="236"/>
      <c r="I8" s="31"/>
      <c r="J8" s="236"/>
      <c r="K8" s="30"/>
      <c r="L8" s="237"/>
      <c r="N8" s="19" t="str">
        <f>IF('Dropdown tables - Production'!G6= 0, "", 'Dropdown tables - Production'!G6)</f>
        <v/>
      </c>
      <c r="O8" s="31"/>
      <c r="Q8" s="19" t="str">
        <f>IF('Dropdown tables - Production'!G6= 0, "", 'Dropdown tables - Production'!G6)</f>
        <v/>
      </c>
      <c r="R8" s="27" t="str">
        <f>IF(Table11[[#This Row],[Species in production]]= "", "", SUMIFS(Table126[ASC certified net production volume (tonnes)],Table126[Species in production (Latin name) (select)],Feed!Q8))</f>
        <v/>
      </c>
      <c r="S8" s="27" t="str">
        <f>IFERROR((SUMIFS(Table7[Feed use (tonnes)],Table7[Species in production (select)],Table11[[#This Row],[Species in production]])/Table11[[#This Row],[ASC certified net production volume (tonnes)]]), "")</f>
        <v/>
      </c>
      <c r="T8" s="27" t="str" cm="1">
        <f t="array" ref="T8" xml:space="preserve"> IFERROR((((SUMPRODUCT((Q8=Table10[Species in production])*(Table10[Animal protein content (%)]))*R8)/100)/(SUMIFS(Table38[Protein fed per feed type (tonnes)], Table7[Species in production (select)],Table11[[#This Row],[Species in production]]))*100), "")</f>
        <v/>
      </c>
      <c r="U8" s="27" t="str">
        <f xml:space="preserve"> IFERROR((SUMIFS(Table38[FM%/yield*feed use], Table7[Species in production (select)],Table11[[#This Row],[Species in production]])/SUMIFS(Table7[Feed use (tonnes)],Table7[Species in production (select)], Table11[[#This Row],[Species in production]])*Table11[[#This Row],[eFCR]]), "")</f>
        <v/>
      </c>
      <c r="V8" s="27" t="str">
        <f xml:space="preserve"> IFERROR((SUMIFS(Table38[FO%/yield*feed use], Table7[Species in production (select)],Table11[[#This Row],[Species in production]])/SUMIFS(Table7[Feed use (tonnes)], Table7[Species in production (select)], Table11[[#This Row],[Species in production]])*Table11[[#This Row],[eFCR]]), "")</f>
        <v/>
      </c>
      <c r="W8" s="27" t="str">
        <f xml:space="preserve"> IFERROR((SUMIFS(Table38[total EPA and DHA in feed, per type (g)],Table7[Species in production (select)], Table11[[#This Row],[Species in production]])/(SUMIFS(Table7[Feed use (tonnes)],Table7[Species in production (select)], Table11[[#This Row],[Species in production]])*1000)), "")</f>
        <v/>
      </c>
      <c r="X8" s="27" t="str">
        <f>IFERROR((SUMIFS(Table38[EPA and DHA% * feed use],Table7[Species in production (select)], Table11[[#This Row],[Species in production]])/(SUMIFS(Table7[Feed use (tonnes)],Table7[Species in production (select)], Table11[[#This Row],[Species in production]]))), "")</f>
        <v/>
      </c>
    </row>
    <row r="9" spans="3:30" x14ac:dyDescent="0.4">
      <c r="C9" s="31"/>
      <c r="D9" s="235"/>
      <c r="E9" s="236"/>
      <c r="F9" s="236"/>
      <c r="G9" s="236"/>
      <c r="H9" s="236"/>
      <c r="I9" s="31"/>
      <c r="J9" s="236"/>
      <c r="K9" s="30"/>
      <c r="L9" s="237"/>
      <c r="N9" s="19" t="str">
        <f>IF('Dropdown tables - Production'!G7= 0, "", 'Dropdown tables - Production'!G7)</f>
        <v/>
      </c>
      <c r="O9" s="31"/>
      <c r="Q9" s="19" t="str">
        <f>IF('Dropdown tables - Production'!G7= 0, "", 'Dropdown tables - Production'!G7)</f>
        <v/>
      </c>
      <c r="R9" s="27" t="str">
        <f>IF(Table11[[#This Row],[Species in production]]= "", "", SUMIFS(Table126[ASC certified net production volume (tonnes)],Table126[Species in production (Latin name) (select)],Feed!Q9))</f>
        <v/>
      </c>
      <c r="S9" s="27" t="str">
        <f>IFERROR((SUMIFS(Table7[Feed use (tonnes)],Table7[Species in production (select)],Table11[[#This Row],[Species in production]])/Table11[[#This Row],[ASC certified net production volume (tonnes)]]), "")</f>
        <v/>
      </c>
      <c r="T9" s="27" t="str" cm="1">
        <f t="array" ref="T9" xml:space="preserve"> IFERROR((((SUMPRODUCT((Q9=Table10[Species in production])*(Table10[Animal protein content (%)]))*R9)/100)/(SUMIFS(Table38[Protein fed per feed type (tonnes)], Table7[Species in production (select)],Table11[[#This Row],[Species in production]]))*100), "")</f>
        <v/>
      </c>
      <c r="U9" s="27" t="str">
        <f xml:space="preserve"> IFERROR((SUMIFS(Table38[FM%/yield*feed use], Table7[Species in production (select)],Table11[[#This Row],[Species in production]])/SUMIFS(Table7[Feed use (tonnes)],Table7[Species in production (select)], Table11[[#This Row],[Species in production]])*Table11[[#This Row],[eFCR]]), "")</f>
        <v/>
      </c>
      <c r="V9" s="27" t="str">
        <f xml:space="preserve"> IFERROR((SUMIFS(Table38[FO%/yield*feed use], Table7[Species in production (select)],Table11[[#This Row],[Species in production]])/SUMIFS(Table7[Feed use (tonnes)], Table7[Species in production (select)], Table11[[#This Row],[Species in production]])*Table11[[#This Row],[eFCR]]), "")</f>
        <v/>
      </c>
      <c r="W9" s="27" t="str">
        <f xml:space="preserve"> IFERROR((SUMIFS(Table38[total EPA and DHA in feed, per type (g)],Table7[Species in production (select)], Table11[[#This Row],[Species in production]])/(SUMIFS(Table7[Feed use (tonnes)],Table7[Species in production (select)], Table11[[#This Row],[Species in production]])*1000)), "")</f>
        <v/>
      </c>
      <c r="X9" s="27" t="str">
        <f>IFERROR((SUMIFS(Table38[EPA and DHA% * feed use],Table7[Species in production (select)], Table11[[#This Row],[Species in production]])/(SUMIFS(Table7[Feed use (tonnes)],Table7[Species in production (select)], Table11[[#This Row],[Species in production]]))), "")</f>
        <v/>
      </c>
    </row>
    <row r="10" spans="3:30" x14ac:dyDescent="0.4">
      <c r="C10" s="31"/>
      <c r="D10" s="235"/>
      <c r="E10" s="236"/>
      <c r="F10" s="236"/>
      <c r="G10" s="236"/>
      <c r="H10" s="236"/>
      <c r="I10" s="31"/>
      <c r="J10" s="236"/>
      <c r="K10" s="30"/>
      <c r="L10" s="237"/>
      <c r="N10" s="19" t="str">
        <f>IF('Dropdown tables - Production'!G8= 0, "", 'Dropdown tables - Production'!G8)</f>
        <v/>
      </c>
      <c r="O10" s="31"/>
      <c r="Q10" s="19" t="str">
        <f>IF('Dropdown tables - Production'!G8= 0, "", 'Dropdown tables - Production'!G8)</f>
        <v/>
      </c>
      <c r="R10" s="27" t="str">
        <f>IF(Table11[[#This Row],[Species in production]]= "", "", SUMIFS(Table126[ASC certified net production volume (tonnes)],Table126[Species in production (Latin name) (select)],Feed!Q10))</f>
        <v/>
      </c>
      <c r="S10" s="27" t="str">
        <f>IFERROR((SUMIFS(Table7[Feed use (tonnes)],Table7[Species in production (select)],Table11[[#This Row],[Species in production]])/Table11[[#This Row],[ASC certified net production volume (tonnes)]]), "")</f>
        <v/>
      </c>
      <c r="T10" s="27" t="str" cm="1">
        <f t="array" ref="T10" xml:space="preserve"> IFERROR((((SUMPRODUCT((Q10=Table10[Species in production])*(Table10[Animal protein content (%)]))*R10)/100)/(SUMIFS(Table38[Protein fed per feed type (tonnes)], Table7[Species in production (select)],Table11[[#This Row],[Species in production]]))*100), "")</f>
        <v/>
      </c>
      <c r="U10" s="27" t="str">
        <f xml:space="preserve"> IFERROR((SUMIFS(Table38[FM%/yield*feed use], Table7[Species in production (select)],Table11[[#This Row],[Species in production]])/SUMIFS(Table7[Feed use (tonnes)],Table7[Species in production (select)], Table11[[#This Row],[Species in production]])*Table11[[#This Row],[eFCR]]), "")</f>
        <v/>
      </c>
      <c r="V10" s="27" t="str">
        <f xml:space="preserve"> IFERROR((SUMIFS(Table38[FO%/yield*feed use], Table7[Species in production (select)],Table11[[#This Row],[Species in production]])/SUMIFS(Table7[Feed use (tonnes)], Table7[Species in production (select)], Table11[[#This Row],[Species in production]])*Table11[[#This Row],[eFCR]]), "")</f>
        <v/>
      </c>
      <c r="W10" s="27" t="str">
        <f xml:space="preserve"> IFERROR((SUMIFS(Table38[total EPA and DHA in feed, per type (g)],Table7[Species in production (select)], Table11[[#This Row],[Species in production]])/(SUMIFS(Table7[Feed use (tonnes)],Table7[Species in production (select)], Table11[[#This Row],[Species in production]])*1000)), "")</f>
        <v/>
      </c>
      <c r="X10" s="27" t="str">
        <f>IFERROR((SUMIFS(Table38[EPA and DHA% * feed use],Table7[Species in production (select)], Table11[[#This Row],[Species in production]])/(SUMIFS(Table7[Feed use (tonnes)],Table7[Species in production (select)], Table11[[#This Row],[Species in production]]))), "")</f>
        <v/>
      </c>
    </row>
    <row r="11" spans="3:30" x14ac:dyDescent="0.4">
      <c r="C11" s="31"/>
      <c r="D11" s="235"/>
      <c r="E11" s="236"/>
      <c r="F11" s="236"/>
      <c r="G11" s="236"/>
      <c r="H11" s="236"/>
      <c r="I11" s="31"/>
      <c r="J11" s="236"/>
      <c r="K11" s="30"/>
      <c r="L11" s="237"/>
      <c r="N11" s="19" t="str">
        <f>IF('Dropdown tables - Production'!G9= 0, "", 'Dropdown tables - Production'!G9)</f>
        <v/>
      </c>
      <c r="O11" s="31"/>
      <c r="Q11" s="19" t="str">
        <f>IF('Dropdown tables - Production'!G9= 0, "", 'Dropdown tables - Production'!G9)</f>
        <v/>
      </c>
      <c r="R11" s="27" t="str">
        <f>IF(Table11[[#This Row],[Species in production]]= "", "", SUMIFS(Table126[ASC certified net production volume (tonnes)],Table126[Species in production (Latin name) (select)],Feed!Q11))</f>
        <v/>
      </c>
      <c r="S11" s="27" t="str">
        <f>IFERROR((SUMIFS(Table7[Feed use (tonnes)],Table7[Species in production (select)],Table11[[#This Row],[Species in production]])/Table11[[#This Row],[ASC certified net production volume (tonnes)]]), "")</f>
        <v/>
      </c>
      <c r="T11" s="27" t="str" cm="1">
        <f t="array" ref="T11" xml:space="preserve"> IFERROR((((SUMPRODUCT((Q11=Table10[Species in production])*(Table10[Animal protein content (%)]))*R11)/100)/(SUMIFS(Table38[Protein fed per feed type (tonnes)], Table7[Species in production (select)],Table11[[#This Row],[Species in production]]))*100), "")</f>
        <v/>
      </c>
      <c r="U11" s="27" t="str">
        <f xml:space="preserve"> IFERROR((SUMIFS(Table38[FM%/yield*feed use], Table7[Species in production (select)],Table11[[#This Row],[Species in production]])/SUMIFS(Table7[Feed use (tonnes)],Table7[Species in production (select)], Table11[[#This Row],[Species in production]])*Table11[[#This Row],[eFCR]]), "")</f>
        <v/>
      </c>
      <c r="V11" s="27" t="str">
        <f xml:space="preserve"> IFERROR((SUMIFS(Table38[FO%/yield*feed use], Table7[Species in production (select)],Table11[[#This Row],[Species in production]])/SUMIFS(Table7[Feed use (tonnes)], Table7[Species in production (select)], Table11[[#This Row],[Species in production]])*Table11[[#This Row],[eFCR]]), "")</f>
        <v/>
      </c>
      <c r="W11" s="27" t="str">
        <f xml:space="preserve"> IFERROR((SUMIFS(Table38[total EPA and DHA in feed, per type (g)],Table7[Species in production (select)], Table11[[#This Row],[Species in production]])/(SUMIFS(Table7[Feed use (tonnes)],Table7[Species in production (select)], Table11[[#This Row],[Species in production]])*1000)), "")</f>
        <v/>
      </c>
      <c r="X11" s="27" t="str">
        <f>IFERROR((SUMIFS(Table38[EPA and DHA% * feed use],Table7[Species in production (select)], Table11[[#This Row],[Species in production]])/(SUMIFS(Table7[Feed use (tonnes)],Table7[Species in production (select)], Table11[[#This Row],[Species in production]]))), "")</f>
        <v/>
      </c>
    </row>
    <row r="12" spans="3:30" x14ac:dyDescent="0.4">
      <c r="C12" s="31"/>
      <c r="D12" s="235"/>
      <c r="E12" s="236"/>
      <c r="F12" s="236"/>
      <c r="G12" s="236"/>
      <c r="H12" s="236"/>
      <c r="I12" s="31"/>
      <c r="J12" s="236"/>
      <c r="K12" s="30"/>
      <c r="L12" s="237"/>
      <c r="N12" s="19" t="str">
        <f>IF('Dropdown tables - Production'!G10= 0, "", 'Dropdown tables - Production'!G10)</f>
        <v/>
      </c>
      <c r="O12" s="31"/>
      <c r="Q12" s="19" t="str">
        <f>IF('Dropdown tables - Production'!G10= 0, "", 'Dropdown tables - Production'!G10)</f>
        <v/>
      </c>
      <c r="R12" s="27" t="str">
        <f>IF(Table11[[#This Row],[Species in production]]= "", "", SUMIFS(Table126[ASC certified net production volume (tonnes)],Table126[Species in production (Latin name) (select)],Feed!Q12))</f>
        <v/>
      </c>
      <c r="S12" s="27" t="str">
        <f>IFERROR((SUMIFS(Table7[Feed use (tonnes)],Table7[Species in production (select)],Table11[[#This Row],[Species in production]])/Table11[[#This Row],[ASC certified net production volume (tonnes)]]), "")</f>
        <v/>
      </c>
      <c r="T12" s="27" t="str" cm="1">
        <f t="array" ref="T12" xml:space="preserve"> IFERROR((((SUMPRODUCT((Q12=Table10[Species in production])*(Table10[Animal protein content (%)]))*R12)/100)/(SUMIFS(Table38[Protein fed per feed type (tonnes)], Table7[Species in production (select)],Table11[[#This Row],[Species in production]]))*100), "")</f>
        <v/>
      </c>
      <c r="U12" s="27" t="str">
        <f xml:space="preserve"> IFERROR((SUMIFS(Table38[FM%/yield*feed use], Table7[Species in production (select)],Table11[[#This Row],[Species in production]])/SUMIFS(Table7[Feed use (tonnes)],Table7[Species in production (select)], Table11[[#This Row],[Species in production]])*Table11[[#This Row],[eFCR]]), "")</f>
        <v/>
      </c>
      <c r="V12" s="27" t="str">
        <f xml:space="preserve"> IFERROR((SUMIFS(Table38[FO%/yield*feed use], Table7[Species in production (select)],Table11[[#This Row],[Species in production]])/SUMIFS(Table7[Feed use (tonnes)], Table7[Species in production (select)], Table11[[#This Row],[Species in production]])*Table11[[#This Row],[eFCR]]), "")</f>
        <v/>
      </c>
      <c r="W12" s="27" t="str">
        <f xml:space="preserve"> IFERROR((SUMIFS(Table38[total EPA and DHA in feed, per type (g)],Table7[Species in production (select)], Table11[[#This Row],[Species in production]])/(SUMIFS(Table7[Feed use (tonnes)],Table7[Species in production (select)], Table11[[#This Row],[Species in production]])*1000)), "")</f>
        <v/>
      </c>
      <c r="X12" s="27" t="str">
        <f>IFERROR((SUMIFS(Table38[EPA and DHA% * feed use],Table7[Species in production (select)], Table11[[#This Row],[Species in production]])/(SUMIFS(Table7[Feed use (tonnes)],Table7[Species in production (select)], Table11[[#This Row],[Species in production]]))), "")</f>
        <v/>
      </c>
    </row>
    <row r="13" spans="3:30" x14ac:dyDescent="0.4">
      <c r="C13" s="31"/>
      <c r="D13" s="235"/>
      <c r="E13" s="236"/>
      <c r="F13" s="236"/>
      <c r="G13" s="236"/>
      <c r="H13" s="236"/>
      <c r="I13" s="31"/>
      <c r="J13" s="236"/>
      <c r="K13" s="30"/>
      <c r="L13" s="237"/>
      <c r="N13" s="19" t="str">
        <f>IF('Dropdown tables - Production'!G11= 0, "", 'Dropdown tables - Production'!G11)</f>
        <v/>
      </c>
      <c r="O13" s="31"/>
      <c r="Q13" s="19" t="str">
        <f>IF('Dropdown tables - Production'!G11= 0, "", 'Dropdown tables - Production'!G11)</f>
        <v/>
      </c>
      <c r="R13" s="27" t="str">
        <f>IF(Table11[[#This Row],[Species in production]]= "", "", SUMIFS(Table126[ASC certified net production volume (tonnes)],Table126[Species in production (Latin name) (select)],Feed!Q13))</f>
        <v/>
      </c>
      <c r="S13" s="27" t="str">
        <f>IFERROR((SUMIFS(Table7[Feed use (tonnes)],Table7[Species in production (select)],Table11[[#This Row],[Species in production]])/Table11[[#This Row],[ASC certified net production volume (tonnes)]]), "")</f>
        <v/>
      </c>
      <c r="T13" s="27" t="str" cm="1">
        <f t="array" ref="T13" xml:space="preserve"> IFERROR((((SUMPRODUCT((Q13=Table10[Species in production])*(Table10[Animal protein content (%)]))*R13)/100)/(SUMIFS(Table38[Protein fed per feed type (tonnes)], Table7[Species in production (select)],Table11[[#This Row],[Species in production]]))*100), "")</f>
        <v/>
      </c>
      <c r="U13" s="27" t="str">
        <f xml:space="preserve"> IFERROR((SUMIFS(Table38[FM%/yield*feed use], Table7[Species in production (select)],Table11[[#This Row],[Species in production]])/SUMIFS(Table7[Feed use (tonnes)],Table7[Species in production (select)], Table11[[#This Row],[Species in production]])*Table11[[#This Row],[eFCR]]), "")</f>
        <v/>
      </c>
      <c r="V13" s="27" t="str">
        <f xml:space="preserve"> IFERROR((SUMIFS(Table38[FO%/yield*feed use], Table7[Species in production (select)],Table11[[#This Row],[Species in production]])/SUMIFS(Table7[Feed use (tonnes)], Table7[Species in production (select)], Table11[[#This Row],[Species in production]])*Table11[[#This Row],[eFCR]]), "")</f>
        <v/>
      </c>
      <c r="W13" s="27" t="str">
        <f xml:space="preserve"> IFERROR((SUMIFS(Table38[total EPA and DHA in feed, per type (g)],Table7[Species in production (select)], Table11[[#This Row],[Species in production]])/(SUMIFS(Table7[Feed use (tonnes)],Table7[Species in production (select)], Table11[[#This Row],[Species in production]])*1000)), "")</f>
        <v/>
      </c>
      <c r="X13" s="27" t="str">
        <f>IFERROR((SUMIFS(Table38[EPA and DHA% * feed use],Table7[Species in production (select)], Table11[[#This Row],[Species in production]])/(SUMIFS(Table7[Feed use (tonnes)],Table7[Species in production (select)], Table11[[#This Row],[Species in production]]))), "")</f>
        <v/>
      </c>
    </row>
    <row r="14" spans="3:30" x14ac:dyDescent="0.4">
      <c r="C14" s="31"/>
      <c r="D14" s="235"/>
      <c r="E14" s="236"/>
      <c r="F14" s="236"/>
      <c r="G14" s="236"/>
      <c r="H14" s="236"/>
      <c r="I14" s="31"/>
      <c r="J14" s="236"/>
      <c r="K14" s="30"/>
      <c r="L14" s="237"/>
      <c r="N14" s="19" t="str">
        <f>IF('Dropdown tables - Production'!G12= 0, "", 'Dropdown tables - Production'!G12)</f>
        <v/>
      </c>
      <c r="O14" s="31"/>
      <c r="Q14" s="19" t="str">
        <f>IF('Dropdown tables - Production'!G12= 0, "", 'Dropdown tables - Production'!G12)</f>
        <v/>
      </c>
      <c r="R14" s="27" t="str">
        <f>IF(Table11[[#This Row],[Species in production]]= "", "", SUMIFS(Table126[ASC certified net production volume (tonnes)],Table126[Species in production (Latin name) (select)],Feed!Q14))</f>
        <v/>
      </c>
      <c r="S14" s="27" t="str">
        <f>IFERROR((SUMIFS(Table7[Feed use (tonnes)],Table7[Species in production (select)],Table11[[#This Row],[Species in production]])/Table11[[#This Row],[ASC certified net production volume (tonnes)]]), "")</f>
        <v/>
      </c>
      <c r="T14" s="27" t="str" cm="1">
        <f t="array" ref="T14" xml:space="preserve"> IFERROR((((SUMPRODUCT((Q14=Table10[Species in production])*(Table10[Animal protein content (%)]))*R14)/100)/(SUMIFS(Table38[Protein fed per feed type (tonnes)], Table7[Species in production (select)],Table11[[#This Row],[Species in production]]))*100), "")</f>
        <v/>
      </c>
      <c r="U14" s="27" t="str">
        <f xml:space="preserve"> IFERROR((SUMIFS(Table38[FM%/yield*feed use], Table7[Species in production (select)],Table11[[#This Row],[Species in production]])/SUMIFS(Table7[Feed use (tonnes)],Table7[Species in production (select)], Table11[[#This Row],[Species in production]])*Table11[[#This Row],[eFCR]]), "")</f>
        <v/>
      </c>
      <c r="V14" s="27" t="str">
        <f xml:space="preserve"> IFERROR((SUMIFS(Table38[FO%/yield*feed use], Table7[Species in production (select)],Table11[[#This Row],[Species in production]])/SUMIFS(Table7[Feed use (tonnes)], Table7[Species in production (select)], Table11[[#This Row],[Species in production]])*Table11[[#This Row],[eFCR]]), "")</f>
        <v/>
      </c>
      <c r="W14" s="27" t="str">
        <f xml:space="preserve"> IFERROR((SUMIFS(Table38[total EPA and DHA in feed, per type (g)],Table7[Species in production (select)], Table11[[#This Row],[Species in production]])/(SUMIFS(Table7[Feed use (tonnes)],Table7[Species in production (select)], Table11[[#This Row],[Species in production]])*1000)), "")</f>
        <v/>
      </c>
      <c r="X14" s="27" t="str">
        <f>IFERROR((SUMIFS(Table38[EPA and DHA% * feed use],Table7[Species in production (select)], Table11[[#This Row],[Species in production]])/(SUMIFS(Table7[Feed use (tonnes)],Table7[Species in production (select)], Table11[[#This Row],[Species in production]]))), "")</f>
        <v/>
      </c>
    </row>
    <row r="15" spans="3:30" x14ac:dyDescent="0.4">
      <c r="C15" s="31"/>
      <c r="D15" s="235"/>
      <c r="E15" s="236"/>
      <c r="F15" s="236"/>
      <c r="G15" s="236"/>
      <c r="H15" s="236"/>
      <c r="I15" s="31"/>
      <c r="J15" s="236"/>
      <c r="K15" s="30"/>
      <c r="L15" s="237"/>
      <c r="N15" s="19" t="str">
        <f>IF('Dropdown tables - Production'!G13= 0, "", 'Dropdown tables - Production'!G13)</f>
        <v/>
      </c>
      <c r="O15" s="31"/>
      <c r="Q15" s="19" t="str">
        <f>IF('Dropdown tables - Production'!G13= 0, "", 'Dropdown tables - Production'!G13)</f>
        <v/>
      </c>
      <c r="R15" s="27" t="str">
        <f>IF(Table11[[#This Row],[Species in production]]= "", "", SUMIFS(Table126[ASC certified net production volume (tonnes)],Table126[Species in production (Latin name) (select)],Feed!Q15))</f>
        <v/>
      </c>
      <c r="S15" s="27" t="str">
        <f>IFERROR((SUMIFS(Table7[Feed use (tonnes)],Table7[Species in production (select)],Table11[[#This Row],[Species in production]])/Table11[[#This Row],[ASC certified net production volume (tonnes)]]), "")</f>
        <v/>
      </c>
      <c r="T15" s="27" t="str" cm="1">
        <f t="array" ref="T15" xml:space="preserve"> IFERROR((((SUMPRODUCT((Q15=Table10[Species in production])*(Table10[Animal protein content (%)]))*R15)/100)/(SUMIFS(Table38[Protein fed per feed type (tonnes)], Table7[Species in production (select)],Table11[[#This Row],[Species in production]]))*100), "")</f>
        <v/>
      </c>
      <c r="U15" s="27" t="str">
        <f xml:space="preserve"> IFERROR((SUMIFS(Table38[FM%/yield*feed use], Table7[Species in production (select)],Table11[[#This Row],[Species in production]])/SUMIFS(Table7[Feed use (tonnes)],Table7[Species in production (select)], Table11[[#This Row],[Species in production]])*Table11[[#This Row],[eFCR]]), "")</f>
        <v/>
      </c>
      <c r="V15" s="27" t="str">
        <f xml:space="preserve"> IFERROR((SUMIFS(Table38[FO%/yield*feed use], Table7[Species in production (select)],Table11[[#This Row],[Species in production]])/SUMIFS(Table7[Feed use (tonnes)], Table7[Species in production (select)], Table11[[#This Row],[Species in production]])*Table11[[#This Row],[eFCR]]), "")</f>
        <v/>
      </c>
      <c r="W15" s="27" t="str">
        <f xml:space="preserve"> IFERROR((SUMIFS(Table38[total EPA and DHA in feed, per type (g)],Table7[Species in production (select)], Table11[[#This Row],[Species in production]])/(SUMIFS(Table7[Feed use (tonnes)],Table7[Species in production (select)], Table11[[#This Row],[Species in production]])*1000)), "")</f>
        <v/>
      </c>
      <c r="X15" s="27" t="str">
        <f>IFERROR((SUMIFS(Table38[EPA and DHA% * feed use],Table7[Species in production (select)], Table11[[#This Row],[Species in production]])/(SUMIFS(Table7[Feed use (tonnes)],Table7[Species in production (select)], Table11[[#This Row],[Species in production]]))), "")</f>
        <v/>
      </c>
    </row>
    <row r="16" spans="3:30" x14ac:dyDescent="0.4">
      <c r="C16" s="31"/>
      <c r="D16" s="235"/>
      <c r="E16" s="236"/>
      <c r="F16" s="236"/>
      <c r="G16" s="236"/>
      <c r="H16" s="236"/>
      <c r="I16" s="31"/>
      <c r="J16" s="236"/>
      <c r="K16" s="30"/>
      <c r="L16" s="237"/>
      <c r="N16" s="19" t="str">
        <f>IF('Dropdown tables - Production'!G14= 0, "", 'Dropdown tables - Production'!G14)</f>
        <v/>
      </c>
      <c r="O16" s="31"/>
      <c r="Q16" s="19" t="str">
        <f>IF('Dropdown tables - Production'!G14= 0, "", 'Dropdown tables - Production'!G14)</f>
        <v/>
      </c>
      <c r="R16" s="27" t="str">
        <f>IF(Table11[[#This Row],[Species in production]]= "", "", SUMIFS(Table126[ASC certified net production volume (tonnes)],Table126[Species in production (Latin name) (select)],Feed!Q16))</f>
        <v/>
      </c>
      <c r="S16" s="27" t="str">
        <f>IFERROR((SUMIFS(Table7[Feed use (tonnes)],Table7[Species in production (select)],Table11[[#This Row],[Species in production]])/Table11[[#This Row],[ASC certified net production volume (tonnes)]]), "")</f>
        <v/>
      </c>
      <c r="T16" s="27" t="str" cm="1">
        <f t="array" ref="T16" xml:space="preserve"> IFERROR((((SUMPRODUCT((Q16=Table10[Species in production])*(Table10[Animal protein content (%)]))*R16)/100)/(SUMIFS(Table38[Protein fed per feed type (tonnes)], Table7[Species in production (select)],Table11[[#This Row],[Species in production]]))*100), "")</f>
        <v/>
      </c>
      <c r="U16" s="27" t="str">
        <f xml:space="preserve"> IFERROR((SUMIFS(Table38[FM%/yield*feed use], Table7[Species in production (select)],Table11[[#This Row],[Species in production]])/SUMIFS(Table7[Feed use (tonnes)],Table7[Species in production (select)], Table11[[#This Row],[Species in production]])*Table11[[#This Row],[eFCR]]), "")</f>
        <v/>
      </c>
      <c r="V16" s="27" t="str">
        <f xml:space="preserve"> IFERROR((SUMIFS(Table38[FO%/yield*feed use], Table7[Species in production (select)],Table11[[#This Row],[Species in production]])/SUMIFS(Table7[Feed use (tonnes)], Table7[Species in production (select)], Table11[[#This Row],[Species in production]])*Table11[[#This Row],[eFCR]]), "")</f>
        <v/>
      </c>
      <c r="W16" s="27" t="str">
        <f xml:space="preserve"> IFERROR((SUMIFS(Table38[total EPA and DHA in feed, per type (g)],Table7[Species in production (select)], Table11[[#This Row],[Species in production]])/(SUMIFS(Table7[Feed use (tonnes)],Table7[Species in production (select)], Table11[[#This Row],[Species in production]])*1000)), "")</f>
        <v/>
      </c>
      <c r="X16" s="27" t="str">
        <f>IFERROR((SUMIFS(Table38[EPA and DHA% * feed use],Table7[Species in production (select)], Table11[[#This Row],[Species in production]])/(SUMIFS(Table7[Feed use (tonnes)],Table7[Species in production (select)], Table11[[#This Row],[Species in production]]))), "")</f>
        <v/>
      </c>
    </row>
    <row r="17" spans="3:24" x14ac:dyDescent="0.4">
      <c r="C17" s="31"/>
      <c r="D17" s="235"/>
      <c r="E17" s="236"/>
      <c r="F17" s="236"/>
      <c r="G17" s="236"/>
      <c r="H17" s="236"/>
      <c r="I17" s="31"/>
      <c r="J17" s="236"/>
      <c r="K17" s="30"/>
      <c r="L17" s="237"/>
      <c r="N17" s="19" t="str">
        <f>IF('Dropdown tables - Production'!G15= 0, "", 'Dropdown tables - Production'!G15)</f>
        <v/>
      </c>
      <c r="O17" s="31"/>
      <c r="Q17" s="19" t="str">
        <f>IF('Dropdown tables - Production'!G15= 0, "", 'Dropdown tables - Production'!G15)</f>
        <v/>
      </c>
      <c r="R17" s="27" t="str">
        <f>IF(Table11[[#This Row],[Species in production]]= "", "", SUMIFS(Table126[ASC certified net production volume (tonnes)],Table126[Species in production (Latin name) (select)],Feed!Q17))</f>
        <v/>
      </c>
      <c r="S17" s="27" t="str">
        <f>IFERROR((SUMIFS(Table7[Feed use (tonnes)],Table7[Species in production (select)],Table11[[#This Row],[Species in production]])/Table11[[#This Row],[ASC certified net production volume (tonnes)]]), "")</f>
        <v/>
      </c>
      <c r="T17" s="27" t="str" cm="1">
        <f t="array" ref="T17" xml:space="preserve"> IFERROR((((SUMPRODUCT((Q17=Table10[Species in production])*(Table10[Animal protein content (%)]))*R17)/100)/(SUMIFS(Table38[Protein fed per feed type (tonnes)], Table7[Species in production (select)],Table11[[#This Row],[Species in production]]))*100), "")</f>
        <v/>
      </c>
      <c r="U17" s="27" t="str">
        <f xml:space="preserve"> IFERROR((SUMIFS(Table38[FM%/yield*feed use], Table7[Species in production (select)],Table11[[#This Row],[Species in production]])/SUMIFS(Table7[Feed use (tonnes)],Table7[Species in production (select)], Table11[[#This Row],[Species in production]])*Table11[[#This Row],[eFCR]]), "")</f>
        <v/>
      </c>
      <c r="V17" s="27" t="str">
        <f xml:space="preserve"> IFERROR((SUMIFS(Table38[FO%/yield*feed use], Table7[Species in production (select)],Table11[[#This Row],[Species in production]])/SUMIFS(Table7[Feed use (tonnes)], Table7[Species in production (select)], Table11[[#This Row],[Species in production]])*Table11[[#This Row],[eFCR]]), "")</f>
        <v/>
      </c>
      <c r="W17" s="27" t="str">
        <f xml:space="preserve"> IFERROR((SUMIFS(Table38[total EPA and DHA in feed, per type (g)],Table7[Species in production (select)], Table11[[#This Row],[Species in production]])/(SUMIFS(Table7[Feed use (tonnes)],Table7[Species in production (select)], Table11[[#This Row],[Species in production]])*1000)), "")</f>
        <v/>
      </c>
      <c r="X17" s="27" t="str">
        <f>IFERROR((SUMIFS(Table38[EPA and DHA% * feed use],Table7[Species in production (select)], Table11[[#This Row],[Species in production]])/(SUMIFS(Table7[Feed use (tonnes)],Table7[Species in production (select)], Table11[[#This Row],[Species in production]]))), "")</f>
        <v/>
      </c>
    </row>
    <row r="18" spans="3:24" x14ac:dyDescent="0.4">
      <c r="C18" s="31"/>
      <c r="D18" s="235"/>
      <c r="E18" s="236"/>
      <c r="F18" s="236"/>
      <c r="G18" s="236"/>
      <c r="H18" s="236"/>
      <c r="I18" s="31"/>
      <c r="J18" s="236"/>
      <c r="K18" s="30"/>
      <c r="L18" s="237"/>
      <c r="N18" s="19" t="str">
        <f>IF('Dropdown tables - Production'!G16= 0, "", 'Dropdown tables - Production'!G16)</f>
        <v/>
      </c>
      <c r="O18" s="31"/>
      <c r="Q18" s="19" t="str">
        <f>IF('Dropdown tables - Production'!G16= 0, "", 'Dropdown tables - Production'!G16)</f>
        <v/>
      </c>
      <c r="R18" s="27" t="str">
        <f>IF(Table11[[#This Row],[Species in production]]= "", "", SUMIFS(Table126[ASC certified net production volume (tonnes)],Table126[Species in production (Latin name) (select)],Feed!Q18))</f>
        <v/>
      </c>
      <c r="S18" s="27" t="str">
        <f>IFERROR((SUMIFS(Table7[Feed use (tonnes)],Table7[Species in production (select)],Table11[[#This Row],[Species in production]])/Table11[[#This Row],[ASC certified net production volume (tonnes)]]), "")</f>
        <v/>
      </c>
      <c r="T18" s="27" t="str" cm="1">
        <f t="array" ref="T18" xml:space="preserve"> IFERROR((((SUMPRODUCT((Q18=Table10[Species in production])*(Table10[Animal protein content (%)]))*R18)/100)/(SUMIFS(Table38[Protein fed per feed type (tonnes)], Table7[Species in production (select)],Table11[[#This Row],[Species in production]]))*100), "")</f>
        <v/>
      </c>
      <c r="U18" s="27" t="str">
        <f xml:space="preserve"> IFERROR((SUMIFS(Table38[FM%/yield*feed use], Table7[Species in production (select)],Table11[[#This Row],[Species in production]])/SUMIFS(Table7[Feed use (tonnes)],Table7[Species in production (select)], Table11[[#This Row],[Species in production]])*Table11[[#This Row],[eFCR]]), "")</f>
        <v/>
      </c>
      <c r="V18" s="27" t="str">
        <f xml:space="preserve"> IFERROR((SUMIFS(Table38[FO%/yield*feed use], Table7[Species in production (select)],Table11[[#This Row],[Species in production]])/SUMIFS(Table7[Feed use (tonnes)], Table7[Species in production (select)], Table11[[#This Row],[Species in production]])*Table11[[#This Row],[eFCR]]), "")</f>
        <v/>
      </c>
      <c r="W18" s="27" t="str">
        <f xml:space="preserve"> IFERROR((SUMIFS(Table38[total EPA and DHA in feed, per type (g)],Table7[Species in production (select)], Table11[[#This Row],[Species in production]])/(SUMIFS(Table7[Feed use (tonnes)],Table7[Species in production (select)], Table11[[#This Row],[Species in production]])*1000)), "")</f>
        <v/>
      </c>
      <c r="X18" s="27" t="str">
        <f>IFERROR((SUMIFS(Table38[EPA and DHA% * feed use],Table7[Species in production (select)], Table11[[#This Row],[Species in production]])/(SUMIFS(Table7[Feed use (tonnes)],Table7[Species in production (select)], Table11[[#This Row],[Species in production]]))), "")</f>
        <v/>
      </c>
    </row>
    <row r="19" spans="3:24" x14ac:dyDescent="0.4">
      <c r="C19" s="31"/>
      <c r="D19" s="235"/>
      <c r="E19" s="236"/>
      <c r="F19" s="236"/>
      <c r="G19" s="236"/>
      <c r="H19" s="236"/>
      <c r="I19" s="31"/>
      <c r="J19" s="236"/>
      <c r="K19" s="30"/>
      <c r="L19" s="237"/>
      <c r="N19" s="19" t="str">
        <f>IF('Dropdown tables - Production'!G17= 0, "", 'Dropdown tables - Production'!G17)</f>
        <v/>
      </c>
      <c r="O19" s="31"/>
      <c r="Q19" s="19" t="str">
        <f>IF('Dropdown tables - Production'!G17= 0, "", 'Dropdown tables - Production'!G17)</f>
        <v/>
      </c>
      <c r="R19" s="27" t="str">
        <f>IF(Table11[[#This Row],[Species in production]]= "", "", SUMIFS(Table126[ASC certified net production volume (tonnes)],Table126[Species in production (Latin name) (select)],Feed!Q19))</f>
        <v/>
      </c>
      <c r="S19" s="27" t="str">
        <f>IFERROR((SUMIFS(Table7[Feed use (tonnes)],Table7[Species in production (select)],Table11[[#This Row],[Species in production]])/Table11[[#This Row],[ASC certified net production volume (tonnes)]]), "")</f>
        <v/>
      </c>
      <c r="T19" s="27" t="str" cm="1">
        <f t="array" ref="T19" xml:space="preserve"> IFERROR((((SUMPRODUCT((Q19=Table10[Species in production])*(Table10[Animal protein content (%)]))*R19)/100)/(SUMIFS(Table38[Protein fed per feed type (tonnes)], Table7[Species in production (select)],Table11[[#This Row],[Species in production]]))*100), "")</f>
        <v/>
      </c>
      <c r="U19" s="27" t="str">
        <f xml:space="preserve"> IFERROR((SUMIFS(Table38[FM%/yield*feed use], Table7[Species in production (select)],Table11[[#This Row],[Species in production]])/SUMIFS(Table7[Feed use (tonnes)],Table7[Species in production (select)], Table11[[#This Row],[Species in production]])*Table11[[#This Row],[eFCR]]), "")</f>
        <v/>
      </c>
      <c r="V19" s="27" t="str">
        <f xml:space="preserve"> IFERROR((SUMIFS(Table38[FO%/yield*feed use], Table7[Species in production (select)],Table11[[#This Row],[Species in production]])/SUMIFS(Table7[Feed use (tonnes)], Table7[Species in production (select)], Table11[[#This Row],[Species in production]])*Table11[[#This Row],[eFCR]]), "")</f>
        <v/>
      </c>
      <c r="W19" s="27" t="str">
        <f xml:space="preserve"> IFERROR((SUMIFS(Table38[total EPA and DHA in feed, per type (g)],Table7[Species in production (select)], Table11[[#This Row],[Species in production]])/(SUMIFS(Table7[Feed use (tonnes)],Table7[Species in production (select)], Table11[[#This Row],[Species in production]])*1000)), "")</f>
        <v/>
      </c>
      <c r="X19" s="27" t="str">
        <f>IFERROR((SUMIFS(Table38[EPA and DHA% * feed use],Table7[Species in production (select)], Table11[[#This Row],[Species in production]])/(SUMIFS(Table7[Feed use (tonnes)],Table7[Species in production (select)], Table11[[#This Row],[Species in production]]))), "")</f>
        <v/>
      </c>
    </row>
    <row r="20" spans="3:24" x14ac:dyDescent="0.4">
      <c r="C20" s="31"/>
      <c r="D20" s="235"/>
      <c r="E20" s="236"/>
      <c r="F20" s="236"/>
      <c r="G20" s="236"/>
      <c r="H20" s="236"/>
      <c r="I20" s="31"/>
      <c r="J20" s="236"/>
      <c r="K20" s="30"/>
      <c r="L20" s="237"/>
      <c r="N20" s="19" t="str">
        <f>IF('Dropdown tables - Production'!G18= 0, "", 'Dropdown tables - Production'!G18)</f>
        <v/>
      </c>
      <c r="O20" s="31"/>
      <c r="Q20" s="19" t="str">
        <f>IF('Dropdown tables - Production'!G18= 0, "", 'Dropdown tables - Production'!G18)</f>
        <v/>
      </c>
      <c r="R20" s="27" t="str">
        <f>IF(Table11[[#This Row],[Species in production]]= "", "", SUMIFS(Table126[ASC certified net production volume (tonnes)],Table126[Species in production (Latin name) (select)],Feed!Q20))</f>
        <v/>
      </c>
      <c r="S20" s="27" t="str">
        <f>IFERROR((SUMIFS(Table7[Feed use (tonnes)],Table7[Species in production (select)],Table11[[#This Row],[Species in production]])/Table11[[#This Row],[ASC certified net production volume (tonnes)]]), "")</f>
        <v/>
      </c>
      <c r="T20" s="27" t="str" cm="1">
        <f t="array" ref="T20" xml:space="preserve"> IFERROR((((SUMPRODUCT((Q20=Table10[Species in production])*(Table10[Animal protein content (%)]))*R20)/100)/(SUMIFS(Table38[Protein fed per feed type (tonnes)], Table7[Species in production (select)],Table11[[#This Row],[Species in production]]))*100), "")</f>
        <v/>
      </c>
      <c r="U20" s="27" t="str">
        <f xml:space="preserve"> IFERROR((SUMIFS(Table38[FM%/yield*feed use], Table7[Species in production (select)],Table11[[#This Row],[Species in production]])/SUMIFS(Table7[Feed use (tonnes)],Table7[Species in production (select)], Table11[[#This Row],[Species in production]])*Table11[[#This Row],[eFCR]]), "")</f>
        <v/>
      </c>
      <c r="V20" s="27" t="str">
        <f xml:space="preserve"> IFERROR((SUMIFS(Table38[FO%/yield*feed use], Table7[Species in production (select)],Table11[[#This Row],[Species in production]])/SUMIFS(Table7[Feed use (tonnes)], Table7[Species in production (select)], Table11[[#This Row],[Species in production]])*Table11[[#This Row],[eFCR]]), "")</f>
        <v/>
      </c>
      <c r="W20" s="27" t="str">
        <f xml:space="preserve"> IFERROR((SUMIFS(Table38[total EPA and DHA in feed, per type (g)],Table7[Species in production (select)], Table11[[#This Row],[Species in production]])/(SUMIFS(Table7[Feed use (tonnes)],Table7[Species in production (select)], Table11[[#This Row],[Species in production]])*1000)), "")</f>
        <v/>
      </c>
      <c r="X20" s="27" t="str">
        <f>IFERROR((SUMIFS(Table38[EPA and DHA% * feed use],Table7[Species in production (select)], Table11[[#This Row],[Species in production]])/(SUMIFS(Table7[Feed use (tonnes)],Table7[Species in production (select)], Table11[[#This Row],[Species in production]]))), "")</f>
        <v/>
      </c>
    </row>
    <row r="21" spans="3:24" x14ac:dyDescent="0.4">
      <c r="C21" s="31"/>
      <c r="D21" s="235"/>
      <c r="E21" s="236"/>
      <c r="F21" s="236"/>
      <c r="G21" s="236"/>
      <c r="H21" s="236"/>
      <c r="I21" s="31"/>
      <c r="J21" s="236"/>
      <c r="K21" s="30"/>
      <c r="L21" s="237"/>
      <c r="N21" s="19" t="str">
        <f>IF('Dropdown tables - Production'!G19= 0, "", 'Dropdown tables - Production'!G19)</f>
        <v/>
      </c>
      <c r="O21" s="31"/>
      <c r="Q21" s="19" t="str">
        <f>IF('Dropdown tables - Production'!G19= 0, "", 'Dropdown tables - Production'!G19)</f>
        <v/>
      </c>
      <c r="R21" s="27" t="str">
        <f>IF(Table11[[#This Row],[Species in production]]= "", "", SUMIFS(Table126[ASC certified net production volume (tonnes)],Table126[Species in production (Latin name) (select)],Feed!Q21))</f>
        <v/>
      </c>
      <c r="S21" s="27" t="str">
        <f>IFERROR((SUMIFS(Table7[Feed use (tonnes)],Table7[Species in production (select)],Table11[[#This Row],[Species in production]])/Table11[[#This Row],[ASC certified net production volume (tonnes)]]), "")</f>
        <v/>
      </c>
      <c r="T21" s="27" t="str" cm="1">
        <f t="array" ref="T21" xml:space="preserve"> IFERROR((((SUMPRODUCT((Q21=Table10[Species in production])*(Table10[Animal protein content (%)]))*R21)/100)/(SUMIFS(Table38[Protein fed per feed type (tonnes)], Table7[Species in production (select)],Table11[[#This Row],[Species in production]]))*100), "")</f>
        <v/>
      </c>
      <c r="U21" s="27" t="str">
        <f xml:space="preserve"> IFERROR((SUMIFS(Table38[FM%/yield*feed use], Table7[Species in production (select)],Table11[[#This Row],[Species in production]])/SUMIFS(Table7[Feed use (tonnes)],Table7[Species in production (select)], Table11[[#This Row],[Species in production]])*Table11[[#This Row],[eFCR]]), "")</f>
        <v/>
      </c>
      <c r="V21" s="27" t="str">
        <f xml:space="preserve"> IFERROR((SUMIFS(Table38[FO%/yield*feed use], Table7[Species in production (select)],Table11[[#This Row],[Species in production]])/SUMIFS(Table7[Feed use (tonnes)], Table7[Species in production (select)], Table11[[#This Row],[Species in production]])*Table11[[#This Row],[eFCR]]), "")</f>
        <v/>
      </c>
      <c r="W21" s="27" t="str">
        <f xml:space="preserve"> IFERROR((SUMIFS(Table38[total EPA and DHA in feed, per type (g)],Table7[Species in production (select)], Table11[[#This Row],[Species in production]])/(SUMIFS(Table7[Feed use (tonnes)],Table7[Species in production (select)], Table11[[#This Row],[Species in production]])*1000)), "")</f>
        <v/>
      </c>
      <c r="X21" s="27" t="str">
        <f>IFERROR((SUMIFS(Table38[EPA and DHA% * feed use],Table7[Species in production (select)], Table11[[#This Row],[Species in production]])/(SUMIFS(Table7[Feed use (tonnes)],Table7[Species in production (select)], Table11[[#This Row],[Species in production]]))), "")</f>
        <v/>
      </c>
    </row>
    <row r="22" spans="3:24" x14ac:dyDescent="0.4">
      <c r="C22" s="31"/>
      <c r="D22" s="235"/>
      <c r="E22" s="236"/>
      <c r="F22" s="236"/>
      <c r="G22" s="236"/>
      <c r="H22" s="236"/>
      <c r="I22" s="31"/>
      <c r="J22" s="236"/>
      <c r="K22" s="30"/>
      <c r="L22" s="237"/>
      <c r="N22" s="19" t="str">
        <f>IF('Dropdown tables - Production'!G20= 0, "", 'Dropdown tables - Production'!G20)</f>
        <v/>
      </c>
      <c r="O22" s="31"/>
      <c r="Q22" s="19" t="str">
        <f>IF('Dropdown tables - Production'!G20= 0, "", 'Dropdown tables - Production'!G20)</f>
        <v/>
      </c>
      <c r="R22" s="27" t="str">
        <f>IF(Table11[[#This Row],[Species in production]]= "", "", SUMIFS(Table126[ASC certified net production volume (tonnes)],Table126[Species in production (Latin name) (select)],Feed!Q22))</f>
        <v/>
      </c>
      <c r="S22" s="27" t="str">
        <f>IFERROR((SUMIFS(Table7[Feed use (tonnes)],Table7[Species in production (select)],Table11[[#This Row],[Species in production]])/Table11[[#This Row],[ASC certified net production volume (tonnes)]]), "")</f>
        <v/>
      </c>
      <c r="T22" s="27" t="str" cm="1">
        <f t="array" ref="T22" xml:space="preserve"> IFERROR((((SUMPRODUCT((Q22=Table10[Species in production])*(Table10[Animal protein content (%)]))*R22)/100)/(SUMIFS(Table38[Protein fed per feed type (tonnes)], Table7[Species in production (select)],Table11[[#This Row],[Species in production]]))*100), "")</f>
        <v/>
      </c>
      <c r="U22" s="27" t="str">
        <f xml:space="preserve"> IFERROR((SUMIFS(Table38[FM%/yield*feed use], Table7[Species in production (select)],Table11[[#This Row],[Species in production]])/SUMIFS(Table7[Feed use (tonnes)],Table7[Species in production (select)], Table11[[#This Row],[Species in production]])*Table11[[#This Row],[eFCR]]), "")</f>
        <v/>
      </c>
      <c r="V22" s="27" t="str">
        <f xml:space="preserve"> IFERROR((SUMIFS(Table38[FO%/yield*feed use], Table7[Species in production (select)],Table11[[#This Row],[Species in production]])/SUMIFS(Table7[Feed use (tonnes)], Table7[Species in production (select)], Table11[[#This Row],[Species in production]])*Table11[[#This Row],[eFCR]]), "")</f>
        <v/>
      </c>
      <c r="W22" s="27" t="str">
        <f xml:space="preserve"> IFERROR((SUMIFS(Table38[total EPA and DHA in feed, per type (g)],Table7[Species in production (select)], Table11[[#This Row],[Species in production]])/(SUMIFS(Table7[Feed use (tonnes)],Table7[Species in production (select)], Table11[[#This Row],[Species in production]])*1000)), "")</f>
        <v/>
      </c>
      <c r="X22" s="27" t="str">
        <f>IFERROR((SUMIFS(Table38[EPA and DHA% * feed use],Table7[Species in production (select)], Table11[[#This Row],[Species in production]])/(SUMIFS(Table7[Feed use (tonnes)],Table7[Species in production (select)], Table11[[#This Row],[Species in production]]))), "")</f>
        <v/>
      </c>
    </row>
    <row r="23" spans="3:24" x14ac:dyDescent="0.4">
      <c r="C23" s="31"/>
      <c r="D23" s="235"/>
      <c r="E23" s="236"/>
      <c r="F23" s="236"/>
      <c r="G23" s="236"/>
      <c r="H23" s="236"/>
      <c r="I23" s="31"/>
      <c r="J23" s="236"/>
      <c r="K23" s="30"/>
      <c r="L23" s="237"/>
      <c r="N23" s="19" t="str">
        <f>IF('Dropdown tables - Production'!G21= 0, "", 'Dropdown tables - Production'!G21)</f>
        <v/>
      </c>
      <c r="O23" s="31"/>
      <c r="Q23" s="19" t="str">
        <f>IF('Dropdown tables - Production'!G21= 0, "", 'Dropdown tables - Production'!G21)</f>
        <v/>
      </c>
      <c r="R23" s="27" t="str">
        <f>IF(Table11[[#This Row],[Species in production]]= "", "", SUMIFS(Table126[ASC certified net production volume (tonnes)],Table126[Species in production (Latin name) (select)],Feed!Q23))</f>
        <v/>
      </c>
      <c r="S23" s="27" t="str">
        <f>IFERROR((SUMIFS(Table7[Feed use (tonnes)],Table7[Species in production (select)],Table11[[#This Row],[Species in production]])/Table11[[#This Row],[ASC certified net production volume (tonnes)]]), "")</f>
        <v/>
      </c>
      <c r="T23" s="27" t="str" cm="1">
        <f t="array" ref="T23" xml:space="preserve"> IFERROR((((SUMPRODUCT((Q23=Table10[Species in production])*(Table10[Animal protein content (%)]))*R23)/100)/(SUMIFS(Table38[Protein fed per feed type (tonnes)], Table7[Species in production (select)],Table11[[#This Row],[Species in production]]))*100), "")</f>
        <v/>
      </c>
      <c r="U23" s="27" t="str">
        <f xml:space="preserve"> IFERROR((SUMIFS(Table38[FM%/yield*feed use], Table7[Species in production (select)],Table11[[#This Row],[Species in production]])/SUMIFS(Table7[Feed use (tonnes)],Table7[Species in production (select)], Table11[[#This Row],[Species in production]])*Table11[[#This Row],[eFCR]]), "")</f>
        <v/>
      </c>
      <c r="V23" s="27" t="str">
        <f xml:space="preserve"> IFERROR((SUMIFS(Table38[FO%/yield*feed use], Table7[Species in production (select)],Table11[[#This Row],[Species in production]])/SUMIFS(Table7[Feed use (tonnes)], Table7[Species in production (select)], Table11[[#This Row],[Species in production]])*Table11[[#This Row],[eFCR]]), "")</f>
        <v/>
      </c>
      <c r="W23" s="27" t="str">
        <f xml:space="preserve"> IFERROR((SUMIFS(Table38[total EPA and DHA in feed, per type (g)],Table7[Species in production (select)], Table11[[#This Row],[Species in production]])/(SUMIFS(Table7[Feed use (tonnes)],Table7[Species in production (select)], Table11[[#This Row],[Species in production]])*1000)), "")</f>
        <v/>
      </c>
      <c r="X23" s="27" t="str">
        <f>IFERROR((SUMIFS(Table38[EPA and DHA% * feed use],Table7[Species in production (select)], Table11[[#This Row],[Species in production]])/(SUMIFS(Table7[Feed use (tonnes)],Table7[Species in production (select)], Table11[[#This Row],[Species in production]]))), "")</f>
        <v/>
      </c>
    </row>
    <row r="24" spans="3:24" x14ac:dyDescent="0.4">
      <c r="C24" s="31"/>
      <c r="D24" s="235"/>
      <c r="E24" s="236"/>
      <c r="F24" s="236"/>
      <c r="G24" s="236"/>
      <c r="H24" s="236"/>
      <c r="I24" s="31"/>
      <c r="J24" s="236"/>
      <c r="K24" s="30"/>
      <c r="L24" s="237"/>
      <c r="N24" s="19" t="str">
        <f>IF('Dropdown tables - Production'!G22= 0, "", 'Dropdown tables - Production'!G22)</f>
        <v/>
      </c>
      <c r="O24" s="31"/>
      <c r="Q24" s="19" t="str">
        <f>IF('Dropdown tables - Production'!G22= 0, "", 'Dropdown tables - Production'!G22)</f>
        <v/>
      </c>
      <c r="R24" s="27" t="str">
        <f>IF(Table11[[#This Row],[Species in production]]= "", "", SUMIFS(Table126[ASC certified net production volume (tonnes)],Table126[Species in production (Latin name) (select)],Feed!Q24))</f>
        <v/>
      </c>
      <c r="S24" s="27" t="str">
        <f>IFERROR((SUMIFS(Table7[Feed use (tonnes)],Table7[Species in production (select)],Table11[[#This Row],[Species in production]])/Table11[[#This Row],[ASC certified net production volume (tonnes)]]), "")</f>
        <v/>
      </c>
      <c r="T24" s="27" t="str" cm="1">
        <f t="array" ref="T24" xml:space="preserve"> IFERROR((((SUMPRODUCT((Q24=Table10[Species in production])*(Table10[Animal protein content (%)]))*R24)/100)/(SUMIFS(Table38[Protein fed per feed type (tonnes)], Table7[Species in production (select)],Table11[[#This Row],[Species in production]]))*100), "")</f>
        <v/>
      </c>
      <c r="U24" s="27" t="str">
        <f xml:space="preserve"> IFERROR((SUMIFS(Table38[FM%/yield*feed use], Table7[Species in production (select)],Table11[[#This Row],[Species in production]])/SUMIFS(Table7[Feed use (tonnes)],Table7[Species in production (select)], Table11[[#This Row],[Species in production]])*Table11[[#This Row],[eFCR]]), "")</f>
        <v/>
      </c>
      <c r="V24" s="27" t="str">
        <f xml:space="preserve"> IFERROR((SUMIFS(Table38[FO%/yield*feed use], Table7[Species in production (select)],Table11[[#This Row],[Species in production]])/SUMIFS(Table7[Feed use (tonnes)], Table7[Species in production (select)], Table11[[#This Row],[Species in production]])*Table11[[#This Row],[eFCR]]), "")</f>
        <v/>
      </c>
      <c r="W24" s="27" t="str">
        <f xml:space="preserve"> IFERROR((SUMIFS(Table38[total EPA and DHA in feed, per type (g)],Table7[Species in production (select)], Table11[[#This Row],[Species in production]])/(SUMIFS(Table7[Feed use (tonnes)],Table7[Species in production (select)], Table11[[#This Row],[Species in production]])*1000)), "")</f>
        <v/>
      </c>
      <c r="X24" s="27" t="str">
        <f>IFERROR((SUMIFS(Table38[EPA and DHA% * feed use],Table7[Species in production (select)], Table11[[#This Row],[Species in production]])/(SUMIFS(Table7[Feed use (tonnes)],Table7[Species in production (select)], Table11[[#This Row],[Species in production]]))), "")</f>
        <v/>
      </c>
    </row>
    <row r="25" spans="3:24" x14ac:dyDescent="0.4">
      <c r="C25" s="31"/>
      <c r="D25" s="235"/>
      <c r="E25" s="236"/>
      <c r="F25" s="236"/>
      <c r="G25" s="236"/>
      <c r="H25" s="236"/>
      <c r="I25" s="31"/>
      <c r="J25" s="236"/>
      <c r="K25" s="30"/>
      <c r="L25" s="237"/>
      <c r="N25" s="19" t="str">
        <f>IF('Dropdown tables - Production'!G23= 0, "", 'Dropdown tables - Production'!G23)</f>
        <v/>
      </c>
      <c r="O25" s="31"/>
      <c r="Q25" s="19" t="str">
        <f>IF('Dropdown tables - Production'!G23= 0, "", 'Dropdown tables - Production'!G23)</f>
        <v/>
      </c>
      <c r="R25" s="27" t="str">
        <f>IF(Table11[[#This Row],[Species in production]]= "", "", SUMIFS(Table126[ASC certified net production volume (tonnes)],Table126[Species in production (Latin name) (select)],Feed!Q25))</f>
        <v/>
      </c>
      <c r="S25" s="27" t="str">
        <f>IFERROR((SUMIFS(Table7[Feed use (tonnes)],Table7[Species in production (select)],Table11[[#This Row],[Species in production]])/Table11[[#This Row],[ASC certified net production volume (tonnes)]]), "")</f>
        <v/>
      </c>
      <c r="T25" s="27" t="str" cm="1">
        <f t="array" ref="T25" xml:space="preserve"> IFERROR((((SUMPRODUCT((Q25=Table10[Species in production])*(Table10[Animal protein content (%)]))*R25)/100)/(SUMIFS(Table38[Protein fed per feed type (tonnes)], Table7[Species in production (select)],Table11[[#This Row],[Species in production]]))*100), "")</f>
        <v/>
      </c>
      <c r="U25" s="27" t="str">
        <f xml:space="preserve"> IFERROR((SUMIFS(Table38[FM%/yield*feed use], Table7[Species in production (select)],Table11[[#This Row],[Species in production]])/SUMIFS(Table7[Feed use (tonnes)],Table7[Species in production (select)], Table11[[#This Row],[Species in production]])*Table11[[#This Row],[eFCR]]), "")</f>
        <v/>
      </c>
      <c r="V25" s="27" t="str">
        <f xml:space="preserve"> IFERROR((SUMIFS(Table38[FO%/yield*feed use], Table7[Species in production (select)],Table11[[#This Row],[Species in production]])/SUMIFS(Table7[Feed use (tonnes)], Table7[Species in production (select)], Table11[[#This Row],[Species in production]])*Table11[[#This Row],[eFCR]]), "")</f>
        <v/>
      </c>
      <c r="W25" s="27" t="str">
        <f xml:space="preserve"> IFERROR((SUMIFS(Table38[total EPA and DHA in feed, per type (g)],Table7[Species in production (select)], Table11[[#This Row],[Species in production]])/(SUMIFS(Table7[Feed use (tonnes)],Table7[Species in production (select)], Table11[[#This Row],[Species in production]])*1000)), "")</f>
        <v/>
      </c>
      <c r="X25" s="27" t="str">
        <f>IFERROR((SUMIFS(Table38[EPA and DHA% * feed use],Table7[Species in production (select)], Table11[[#This Row],[Species in production]])/(SUMIFS(Table7[Feed use (tonnes)],Table7[Species in production (select)], Table11[[#This Row],[Species in production]]))), "")</f>
        <v/>
      </c>
    </row>
    <row r="26" spans="3:24" x14ac:dyDescent="0.4">
      <c r="C26" s="31"/>
      <c r="D26" s="235"/>
      <c r="E26" s="236"/>
      <c r="F26" s="236"/>
      <c r="G26" s="236"/>
      <c r="H26" s="236"/>
      <c r="I26" s="31"/>
      <c r="J26" s="236"/>
      <c r="K26" s="30"/>
      <c r="L26" s="237"/>
      <c r="N26" s="19" t="str">
        <f>IF('Dropdown tables - Production'!G24= 0, "", 'Dropdown tables - Production'!G24)</f>
        <v/>
      </c>
      <c r="O26" s="31"/>
      <c r="Q26" s="19" t="str">
        <f>IF('Dropdown tables - Production'!G24= 0, "", 'Dropdown tables - Production'!G24)</f>
        <v/>
      </c>
      <c r="R26" s="27" t="str">
        <f>IF(Table11[[#This Row],[Species in production]]= "", "", SUMIFS(Table126[ASC certified net production volume (tonnes)],Table126[Species in production (Latin name) (select)],Feed!Q26))</f>
        <v/>
      </c>
      <c r="S26" s="27" t="str">
        <f>IFERROR((SUMIFS(Table7[Feed use (tonnes)],Table7[Species in production (select)],Table11[[#This Row],[Species in production]])/Table11[[#This Row],[ASC certified net production volume (tonnes)]]), "")</f>
        <v/>
      </c>
      <c r="T26" s="27" t="str" cm="1">
        <f t="array" ref="T26" xml:space="preserve"> IFERROR((((SUMPRODUCT((Q26=Table10[Species in production])*(Table10[Animal protein content (%)]))*R26)/100)/(SUMIFS(Table38[Protein fed per feed type (tonnes)], Table7[Species in production (select)],Table11[[#This Row],[Species in production]]))*100), "")</f>
        <v/>
      </c>
      <c r="U26" s="27" t="str">
        <f xml:space="preserve"> IFERROR((SUMIFS(Table38[FM%/yield*feed use], Table7[Species in production (select)],Table11[[#This Row],[Species in production]])/SUMIFS(Table7[Feed use (tonnes)],Table7[Species in production (select)], Table11[[#This Row],[Species in production]])*Table11[[#This Row],[eFCR]]), "")</f>
        <v/>
      </c>
      <c r="V26" s="27" t="str">
        <f xml:space="preserve"> IFERROR((SUMIFS(Table38[FO%/yield*feed use], Table7[Species in production (select)],Table11[[#This Row],[Species in production]])/SUMIFS(Table7[Feed use (tonnes)], Table7[Species in production (select)], Table11[[#This Row],[Species in production]])*Table11[[#This Row],[eFCR]]), "")</f>
        <v/>
      </c>
      <c r="W26" s="27" t="str">
        <f xml:space="preserve"> IFERROR((SUMIFS(Table38[total EPA and DHA in feed, per type (g)],Table7[Species in production (select)], Table11[[#This Row],[Species in production]])/(SUMIFS(Table7[Feed use (tonnes)],Table7[Species in production (select)], Table11[[#This Row],[Species in production]])*1000)), "")</f>
        <v/>
      </c>
      <c r="X26" s="27" t="str">
        <f>IFERROR((SUMIFS(Table38[EPA and DHA% * feed use],Table7[Species in production (select)], Table11[[#This Row],[Species in production]])/(SUMIFS(Table7[Feed use (tonnes)],Table7[Species in production (select)], Table11[[#This Row],[Species in production]]))), "")</f>
        <v/>
      </c>
    </row>
    <row r="27" spans="3:24" x14ac:dyDescent="0.4">
      <c r="C27" s="31"/>
      <c r="D27" s="235"/>
      <c r="E27" s="236"/>
      <c r="F27" s="236"/>
      <c r="G27" s="236"/>
      <c r="H27" s="236"/>
      <c r="I27" s="31"/>
      <c r="J27" s="236"/>
      <c r="K27" s="30"/>
      <c r="L27" s="237"/>
      <c r="N27" s="19" t="str">
        <f>IF('Dropdown tables - Production'!G25= 0, "", 'Dropdown tables - Production'!G25)</f>
        <v/>
      </c>
      <c r="O27" s="31"/>
      <c r="Q27" s="19" t="str">
        <f>IF('Dropdown tables - Production'!G25= 0, "", 'Dropdown tables - Production'!G25)</f>
        <v/>
      </c>
      <c r="R27" s="27" t="str">
        <f>IF(Table11[[#This Row],[Species in production]]= "", "", SUMIFS(Table126[ASC certified net production volume (tonnes)],Table126[Species in production (Latin name) (select)],Feed!Q27))</f>
        <v/>
      </c>
      <c r="S27" s="27" t="str">
        <f>IFERROR((SUMIFS(Table7[Feed use (tonnes)],Table7[Species in production (select)],Table11[[#This Row],[Species in production]])/Table11[[#This Row],[ASC certified net production volume (tonnes)]]), "")</f>
        <v/>
      </c>
      <c r="T27" s="27" t="str" cm="1">
        <f t="array" ref="T27" xml:space="preserve"> IFERROR((((SUMPRODUCT((Q27=Table10[Species in production])*(Table10[Animal protein content (%)]))*R27)/100)/(SUMIFS(Table38[Protein fed per feed type (tonnes)], Table7[Species in production (select)],Table11[[#This Row],[Species in production]]))*100), "")</f>
        <v/>
      </c>
      <c r="U27" s="27" t="str">
        <f xml:space="preserve"> IFERROR((SUMIFS(Table38[FM%/yield*feed use], Table7[Species in production (select)],Table11[[#This Row],[Species in production]])/SUMIFS(Table7[Feed use (tonnes)],Table7[Species in production (select)], Table11[[#This Row],[Species in production]])*Table11[[#This Row],[eFCR]]), "")</f>
        <v/>
      </c>
      <c r="V27" s="27" t="str">
        <f xml:space="preserve"> IFERROR((SUMIFS(Table38[FO%/yield*feed use], Table7[Species in production (select)],Table11[[#This Row],[Species in production]])/SUMIFS(Table7[Feed use (tonnes)], Table7[Species in production (select)], Table11[[#This Row],[Species in production]])*Table11[[#This Row],[eFCR]]), "")</f>
        <v/>
      </c>
      <c r="W27" s="27" t="str">
        <f xml:space="preserve"> IFERROR((SUMIFS(Table38[total EPA and DHA in feed, per type (g)],Table7[Species in production (select)], Table11[[#This Row],[Species in production]])/(SUMIFS(Table7[Feed use (tonnes)],Table7[Species in production (select)], Table11[[#This Row],[Species in production]])*1000)), "")</f>
        <v/>
      </c>
      <c r="X27" s="27" t="str">
        <f>IFERROR((SUMIFS(Table38[EPA and DHA% * feed use],Table7[Species in production (select)], Table11[[#This Row],[Species in production]])/(SUMIFS(Table7[Feed use (tonnes)],Table7[Species in production (select)], Table11[[#This Row],[Species in production]]))), "")</f>
        <v/>
      </c>
    </row>
    <row r="28" spans="3:24" x14ac:dyDescent="0.4">
      <c r="C28" s="31"/>
      <c r="D28" s="235"/>
      <c r="E28" s="236"/>
      <c r="F28" s="236"/>
      <c r="G28" s="236"/>
      <c r="H28" s="236"/>
      <c r="I28" s="31"/>
      <c r="J28" s="236"/>
      <c r="K28" s="30"/>
      <c r="L28" s="237"/>
      <c r="N28" s="19" t="str">
        <f>IF('Dropdown tables - Production'!G26= 0, "", 'Dropdown tables - Production'!G26)</f>
        <v/>
      </c>
      <c r="O28" s="31"/>
      <c r="Q28" s="19" t="str">
        <f>IF('Dropdown tables - Production'!G26= 0, "", 'Dropdown tables - Production'!G26)</f>
        <v/>
      </c>
      <c r="R28" s="27" t="str">
        <f>IF(Table11[[#This Row],[Species in production]]= "", "", SUMIFS(Table126[ASC certified net production volume (tonnes)],Table126[Species in production (Latin name) (select)],Feed!Q28))</f>
        <v/>
      </c>
      <c r="S28" s="27" t="str">
        <f>IFERROR((SUMIFS(Table7[Feed use (tonnes)],Table7[Species in production (select)],Table11[[#This Row],[Species in production]])/Table11[[#This Row],[ASC certified net production volume (tonnes)]]), "")</f>
        <v/>
      </c>
      <c r="T28" s="27" t="str" cm="1">
        <f t="array" ref="T28" xml:space="preserve"> IFERROR((((SUMPRODUCT((Q28=Table10[Species in production])*(Table10[Animal protein content (%)]))*R28)/100)/(SUMIFS(Table38[Protein fed per feed type (tonnes)], Table7[Species in production (select)],Table11[[#This Row],[Species in production]]))*100), "")</f>
        <v/>
      </c>
      <c r="U28" s="27" t="str">
        <f xml:space="preserve"> IFERROR((SUMIFS(Table38[FM%/yield*feed use], Table7[Species in production (select)],Table11[[#This Row],[Species in production]])/SUMIFS(Table7[Feed use (tonnes)],Table7[Species in production (select)], Table11[[#This Row],[Species in production]])*Table11[[#This Row],[eFCR]]), "")</f>
        <v/>
      </c>
      <c r="V28" s="27" t="str">
        <f xml:space="preserve"> IFERROR((SUMIFS(Table38[FO%/yield*feed use], Table7[Species in production (select)],Table11[[#This Row],[Species in production]])/SUMIFS(Table7[Feed use (tonnes)], Table7[Species in production (select)], Table11[[#This Row],[Species in production]])*Table11[[#This Row],[eFCR]]), "")</f>
        <v/>
      </c>
      <c r="W28" s="27" t="str">
        <f xml:space="preserve"> IFERROR((SUMIFS(Table38[total EPA and DHA in feed, per type (g)],Table7[Species in production (select)], Table11[[#This Row],[Species in production]])/(SUMIFS(Table7[Feed use (tonnes)],Table7[Species in production (select)], Table11[[#This Row],[Species in production]])*1000)), "")</f>
        <v/>
      </c>
      <c r="X28" s="27" t="str">
        <f>IFERROR((SUMIFS(Table38[EPA and DHA% * feed use],Table7[Species in production (select)], Table11[[#This Row],[Species in production]])/(SUMIFS(Table7[Feed use (tonnes)],Table7[Species in production (select)], Table11[[#This Row],[Species in production]]))), "")</f>
        <v/>
      </c>
    </row>
    <row r="29" spans="3:24" x14ac:dyDescent="0.4">
      <c r="C29" s="31"/>
      <c r="D29" s="235"/>
      <c r="E29" s="236"/>
      <c r="F29" s="236"/>
      <c r="G29" s="236"/>
      <c r="H29" s="236"/>
      <c r="I29" s="31"/>
      <c r="J29" s="236"/>
      <c r="K29" s="30"/>
      <c r="L29" s="237"/>
      <c r="N29" s="19" t="str">
        <f>IF('Dropdown tables - Production'!G27= 0, "", 'Dropdown tables - Production'!G27)</f>
        <v/>
      </c>
      <c r="O29" s="31"/>
      <c r="Q29" s="19" t="str">
        <f>IF('Dropdown tables - Production'!G27= 0, "", 'Dropdown tables - Production'!G27)</f>
        <v/>
      </c>
      <c r="R29" s="27" t="str">
        <f>IF(Table11[[#This Row],[Species in production]]= "", "", SUMIFS(Table126[ASC certified net production volume (tonnes)],Table126[Species in production (Latin name) (select)],Feed!Q29))</f>
        <v/>
      </c>
      <c r="S29" s="27" t="str">
        <f>IFERROR((SUMIFS(Table7[Feed use (tonnes)],Table7[Species in production (select)],Table11[[#This Row],[Species in production]])/Table11[[#This Row],[ASC certified net production volume (tonnes)]]), "")</f>
        <v/>
      </c>
      <c r="T29" s="27" t="str" cm="1">
        <f t="array" ref="T29" xml:space="preserve"> IFERROR((((SUMPRODUCT((Q29=Table10[Species in production])*(Table10[Animal protein content (%)]))*R29)/100)/(SUMIFS(Table38[Protein fed per feed type (tonnes)], Table7[Species in production (select)],Table11[[#This Row],[Species in production]]))*100), "")</f>
        <v/>
      </c>
      <c r="U29" s="27" t="str">
        <f xml:space="preserve"> IFERROR((SUMIFS(Table38[FM%/yield*feed use], Table7[Species in production (select)],Table11[[#This Row],[Species in production]])/SUMIFS(Table7[Feed use (tonnes)],Table7[Species in production (select)], Table11[[#This Row],[Species in production]])*Table11[[#This Row],[eFCR]]), "")</f>
        <v/>
      </c>
      <c r="V29" s="27" t="str">
        <f xml:space="preserve"> IFERROR((SUMIFS(Table38[FO%/yield*feed use], Table7[Species in production (select)],Table11[[#This Row],[Species in production]])/SUMIFS(Table7[Feed use (tonnes)], Table7[Species in production (select)], Table11[[#This Row],[Species in production]])*Table11[[#This Row],[eFCR]]), "")</f>
        <v/>
      </c>
      <c r="W29" s="27" t="str">
        <f xml:space="preserve"> IFERROR((SUMIFS(Table38[total EPA and DHA in feed, per type (g)],Table7[Species in production (select)], Table11[[#This Row],[Species in production]])/(SUMIFS(Table7[Feed use (tonnes)],Table7[Species in production (select)], Table11[[#This Row],[Species in production]])*1000)), "")</f>
        <v/>
      </c>
      <c r="X29" s="27" t="str">
        <f>IFERROR((SUMIFS(Table38[EPA and DHA% * feed use],Table7[Species in production (select)], Table11[[#This Row],[Species in production]])/(SUMIFS(Table7[Feed use (tonnes)],Table7[Species in production (select)], Table11[[#This Row],[Species in production]]))), "")</f>
        <v/>
      </c>
    </row>
    <row r="30" spans="3:24" x14ac:dyDescent="0.4">
      <c r="C30" s="31"/>
      <c r="D30" s="235"/>
      <c r="E30" s="236"/>
      <c r="F30" s="236"/>
      <c r="G30" s="236"/>
      <c r="H30" s="236"/>
      <c r="I30" s="31"/>
      <c r="J30" s="236"/>
      <c r="K30" s="30"/>
      <c r="L30" s="237"/>
      <c r="N30" s="19" t="str">
        <f>IF('Dropdown tables - Production'!G28= 0, "", 'Dropdown tables - Production'!G28)</f>
        <v/>
      </c>
      <c r="O30" s="31"/>
      <c r="Q30" s="19" t="str">
        <f>IF('Dropdown tables - Production'!G28= 0, "", 'Dropdown tables - Production'!G28)</f>
        <v/>
      </c>
      <c r="R30" s="27" t="str">
        <f>IF(Table11[[#This Row],[Species in production]]= "", "", SUMIFS(Table126[ASC certified net production volume (tonnes)],Table126[Species in production (Latin name) (select)],Feed!Q30))</f>
        <v/>
      </c>
      <c r="S30" s="27" t="str">
        <f>IFERROR((SUMIFS(Table7[Feed use (tonnes)],Table7[Species in production (select)],Table11[[#This Row],[Species in production]])/Table11[[#This Row],[ASC certified net production volume (tonnes)]]), "")</f>
        <v/>
      </c>
      <c r="T30" s="27" t="str" cm="1">
        <f t="array" ref="T30" xml:space="preserve"> IFERROR((((SUMPRODUCT((Q30=Table10[Species in production])*(Table10[Animal protein content (%)]))*R30)/100)/(SUMIFS(Table38[Protein fed per feed type (tonnes)], Table7[Species in production (select)],Table11[[#This Row],[Species in production]]))*100), "")</f>
        <v/>
      </c>
      <c r="U30" s="27" t="str">
        <f xml:space="preserve"> IFERROR((SUMIFS(Table38[FM%/yield*feed use], Table7[Species in production (select)],Table11[[#This Row],[Species in production]])/SUMIFS(Table7[Feed use (tonnes)],Table7[Species in production (select)], Table11[[#This Row],[Species in production]])*Table11[[#This Row],[eFCR]]), "")</f>
        <v/>
      </c>
      <c r="V30" s="27" t="str">
        <f xml:space="preserve"> IFERROR((SUMIFS(Table38[FO%/yield*feed use], Table7[Species in production (select)],Table11[[#This Row],[Species in production]])/SUMIFS(Table7[Feed use (tonnes)], Table7[Species in production (select)], Table11[[#This Row],[Species in production]])*Table11[[#This Row],[eFCR]]), "")</f>
        <v/>
      </c>
      <c r="W30" s="27" t="str">
        <f xml:space="preserve"> IFERROR((SUMIFS(Table38[total EPA and DHA in feed, per type (g)],Table7[Species in production (select)], Table11[[#This Row],[Species in production]])/(SUMIFS(Table7[Feed use (tonnes)],Table7[Species in production (select)], Table11[[#This Row],[Species in production]])*1000)), "")</f>
        <v/>
      </c>
      <c r="X30" s="27" t="str">
        <f>IFERROR((SUMIFS(Table38[EPA and DHA% * feed use],Table7[Species in production (select)], Table11[[#This Row],[Species in production]])/(SUMIFS(Table7[Feed use (tonnes)],Table7[Species in production (select)], Table11[[#This Row],[Species in production]]))), "")</f>
        <v/>
      </c>
    </row>
    <row r="31" spans="3:24" x14ac:dyDescent="0.4">
      <c r="C31" s="31"/>
      <c r="D31" s="235"/>
      <c r="E31" s="236"/>
      <c r="F31" s="236"/>
      <c r="G31" s="236"/>
      <c r="H31" s="236"/>
      <c r="I31" s="31"/>
      <c r="J31" s="236"/>
      <c r="K31" s="30"/>
      <c r="L31" s="237"/>
      <c r="N31" s="19" t="str">
        <f>IF('Dropdown tables - Production'!G29= 0, "", 'Dropdown tables - Production'!G29)</f>
        <v/>
      </c>
      <c r="O31" s="31"/>
      <c r="Q31" s="19" t="str">
        <f>IF('Dropdown tables - Production'!G29= 0, "", 'Dropdown tables - Production'!G29)</f>
        <v/>
      </c>
      <c r="R31" s="27" t="str">
        <f>IF(Table11[[#This Row],[Species in production]]= "", "", SUMIFS(Table126[ASC certified net production volume (tonnes)],Table126[Species in production (Latin name) (select)],Feed!Q31))</f>
        <v/>
      </c>
      <c r="S31" s="27" t="str">
        <f>IFERROR((SUMIFS(Table7[Feed use (tonnes)],Table7[Species in production (select)],Table11[[#This Row],[Species in production]])/Table11[[#This Row],[ASC certified net production volume (tonnes)]]), "")</f>
        <v/>
      </c>
      <c r="T31" s="27" t="str" cm="1">
        <f t="array" ref="T31" xml:space="preserve"> IFERROR((((SUMPRODUCT((Q31=Table10[Species in production])*(Table10[Animal protein content (%)]))*R31)/100)/(SUMIFS(Table38[Protein fed per feed type (tonnes)], Table7[Species in production (select)],Table11[[#This Row],[Species in production]]))*100), "")</f>
        <v/>
      </c>
      <c r="U31" s="27" t="str">
        <f xml:space="preserve"> IFERROR((SUMIFS(Table38[FM%/yield*feed use], Table7[Species in production (select)],Table11[[#This Row],[Species in production]])/SUMIFS(Table7[Feed use (tonnes)],Table7[Species in production (select)], Table11[[#This Row],[Species in production]])*Table11[[#This Row],[eFCR]]), "")</f>
        <v/>
      </c>
      <c r="V31" s="27" t="str">
        <f xml:space="preserve"> IFERROR((SUMIFS(Table38[FO%/yield*feed use], Table7[Species in production (select)],Table11[[#This Row],[Species in production]])/SUMIFS(Table7[Feed use (tonnes)], Table7[Species in production (select)], Table11[[#This Row],[Species in production]])*Table11[[#This Row],[eFCR]]), "")</f>
        <v/>
      </c>
      <c r="W31" s="27" t="str">
        <f xml:space="preserve"> IFERROR((SUMIFS(Table38[total EPA and DHA in feed, per type (g)],Table7[Species in production (select)], Table11[[#This Row],[Species in production]])/(SUMIFS(Table7[Feed use (tonnes)],Table7[Species in production (select)], Table11[[#This Row],[Species in production]])*1000)), "")</f>
        <v/>
      </c>
      <c r="X31" s="27" t="str">
        <f>IFERROR((SUMIFS(Table38[EPA and DHA% * feed use],Table7[Species in production (select)], Table11[[#This Row],[Species in production]])/(SUMIFS(Table7[Feed use (tonnes)],Table7[Species in production (select)], Table11[[#This Row],[Species in production]]))), "")</f>
        <v/>
      </c>
    </row>
    <row r="32" spans="3:24" hidden="1" x14ac:dyDescent="0.4">
      <c r="C32" s="31"/>
      <c r="D32" s="235"/>
      <c r="E32" s="236"/>
      <c r="F32" s="236"/>
      <c r="G32" s="236"/>
      <c r="H32" s="236"/>
      <c r="I32" s="31"/>
      <c r="J32" s="236"/>
      <c r="K32" s="30"/>
      <c r="L32" s="237"/>
      <c r="N32" s="19" t="str">
        <f>IF('Dropdown tables - Production'!G30= 0, "", 'Dropdown tables - Production'!G30)</f>
        <v/>
      </c>
      <c r="O32" s="31"/>
      <c r="Q32" s="19" t="str">
        <f>IF('Dropdown tables - Production'!G30= 0, "", 'Dropdown tables - Production'!G30)</f>
        <v/>
      </c>
      <c r="R32" s="27" t="str">
        <f>IF(Table11[[#This Row],[Species in production]]= "", "", SUMIFS(Table126[ASC certified net production volume (tonnes)],Table126[Species in production (Latin name) (select)],Feed!Q32))</f>
        <v/>
      </c>
      <c r="S32" s="27" t="str">
        <f>IFERROR((SUMIFS(Table7[Feed use (tonnes)],Table7[Species in production (select)],Table11[[#This Row],[Species in production]])/Table11[[#This Row],[ASC certified net production volume (tonnes)]]), "")</f>
        <v/>
      </c>
      <c r="T32" s="27" t="str" cm="1">
        <f t="array" ref="T32" xml:space="preserve"> IFERROR((((SUMPRODUCT((Q32=Table10[Species in production])*(Table10[Animal protein content (%)]))*R32)/100)/(SUMIFS(Table38[Protein fed per feed type (tonnes)], Table7[Species in production (select)],Table11[[#This Row],[Species in production]]))*100), "")</f>
        <v/>
      </c>
      <c r="U32" s="27" t="str">
        <f xml:space="preserve"> IFERROR((SUMIFS(Table38[FM%/yield*feed use], Table7[Species in production (select)],Table11[[#This Row],[Species in production]])/SUMIFS(Table7[Feed use (tonnes)],Table7[Species in production (select)], Table11[[#This Row],[Species in production]])*Table11[[#This Row],[eFCR]]), "")</f>
        <v/>
      </c>
      <c r="V32" s="27" t="str">
        <f xml:space="preserve"> IFERROR((SUMIFS(Table38[FO%/yield*feed use], Table7[Species in production (select)],Table11[[#This Row],[Species in production]])/SUMIFS(Table7[Feed use (tonnes)], Table7[Species in production (select)], Table11[[#This Row],[Species in production]])*Table11[[#This Row],[eFCR]]), "")</f>
        <v/>
      </c>
      <c r="W32" s="27" t="str">
        <f xml:space="preserve"> IFERROR((SUMIFS(Table38[total EPA and DHA in feed, per type (g)],Table7[Species in production (select)], Table11[[#This Row],[Species in production]])/(SUMIFS(Table7[Feed use (tonnes)],Table7[Species in production (select)], Table11[[#This Row],[Species in production]])*1000)), "")</f>
        <v/>
      </c>
      <c r="X32" s="27" t="str">
        <f>IFERROR((SUMIFS(Table38[EPA and DHA% * feed use],Table7[Species in production (select)], Table11[[#This Row],[Species in production]])/(SUMIFS(Table7[Feed use (tonnes)],Table7[Species in production (select)], Table11[[#This Row],[Species in production]]))), "")</f>
        <v/>
      </c>
    </row>
    <row r="33" spans="3:24" x14ac:dyDescent="0.4">
      <c r="C33" s="31"/>
      <c r="D33" s="235"/>
      <c r="E33" s="236"/>
      <c r="F33" s="236"/>
      <c r="G33" s="236"/>
      <c r="H33" s="236"/>
      <c r="I33" s="31"/>
      <c r="J33" s="236"/>
      <c r="K33" s="30"/>
      <c r="L33" s="237"/>
      <c r="N33" s="19" t="str">
        <f>IF('Dropdown tables - Production'!G31= 0, "", 'Dropdown tables - Production'!G31)</f>
        <v/>
      </c>
      <c r="O33" s="31"/>
      <c r="Q33" s="19" t="str">
        <f>IF('Dropdown tables - Production'!G31= 0, "", 'Dropdown tables - Production'!G31)</f>
        <v/>
      </c>
      <c r="R33" s="27" t="str">
        <f>IF(Table11[[#This Row],[Species in production]]= "", "", SUMIFS(Table126[ASC certified net production volume (tonnes)],Table126[Species in production (Latin name) (select)],Feed!Q33))</f>
        <v/>
      </c>
      <c r="S33" s="27" t="str">
        <f>IFERROR((SUMIFS(Table7[Feed use (tonnes)],Table7[Species in production (select)],Table11[[#This Row],[Species in production]])/Table11[[#This Row],[ASC certified net production volume (tonnes)]]), "")</f>
        <v/>
      </c>
      <c r="T33" s="27" t="str" cm="1">
        <f t="array" ref="T33" xml:space="preserve"> IFERROR((((SUMPRODUCT((Q33=Table10[Species in production])*(Table10[Animal protein content (%)]))*R33)/100)/(SUMIFS(Table38[Protein fed per feed type (tonnes)], Table7[Species in production (select)],Table11[[#This Row],[Species in production]]))*100), "")</f>
        <v/>
      </c>
      <c r="U33" s="27" t="str">
        <f xml:space="preserve"> IFERROR((SUMIFS(Table38[FM%/yield*feed use], Table7[Species in production (select)],Table11[[#This Row],[Species in production]])/SUMIFS(Table7[Feed use (tonnes)],Table7[Species in production (select)], Table11[[#This Row],[Species in production]])*Table11[[#This Row],[eFCR]]), "")</f>
        <v/>
      </c>
      <c r="V33" s="27" t="str">
        <f xml:space="preserve"> IFERROR((SUMIFS(Table38[FO%/yield*feed use], Table7[Species in production (select)],Table11[[#This Row],[Species in production]])/SUMIFS(Table7[Feed use (tonnes)], Table7[Species in production (select)], Table11[[#This Row],[Species in production]])*Table11[[#This Row],[eFCR]]), "")</f>
        <v/>
      </c>
      <c r="W33" s="27" t="str">
        <f xml:space="preserve"> IFERROR((SUMIFS(Table38[total EPA and DHA in feed, per type (g)],Table7[Species in production (select)], Table11[[#This Row],[Species in production]])/(SUMIFS(Table7[Feed use (tonnes)],Table7[Species in production (select)], Table11[[#This Row],[Species in production]])*1000)), "")</f>
        <v/>
      </c>
      <c r="X33" s="27" t="str">
        <f>IFERROR((SUMIFS(Table38[EPA and DHA% * feed use],Table7[Species in production (select)], Table11[[#This Row],[Species in production]])/(SUMIFS(Table7[Feed use (tonnes)],Table7[Species in production (select)], Table11[[#This Row],[Species in production]]))), "")</f>
        <v/>
      </c>
    </row>
    <row r="34" spans="3:24" x14ac:dyDescent="0.4">
      <c r="C34" s="31"/>
      <c r="D34" s="235"/>
      <c r="E34" s="236"/>
      <c r="F34" s="236"/>
      <c r="G34" s="236"/>
      <c r="H34" s="236"/>
      <c r="I34" s="31"/>
      <c r="J34" s="236"/>
      <c r="K34" s="30"/>
      <c r="L34" s="237"/>
      <c r="N34" s="19" t="str">
        <f>IF('Dropdown tables - Production'!G32= 0, "", 'Dropdown tables - Production'!G32)</f>
        <v/>
      </c>
      <c r="O34" s="31"/>
      <c r="Q34" s="19" t="str">
        <f>IF('Dropdown tables - Production'!G32= 0, "", 'Dropdown tables - Production'!G32)</f>
        <v/>
      </c>
      <c r="R34" s="27" t="str">
        <f>IF(Table11[[#This Row],[Species in production]]= "", "", SUMIFS(Table126[ASC certified net production volume (tonnes)],Table126[Species in production (Latin name) (select)],Feed!Q34))</f>
        <v/>
      </c>
      <c r="S34" s="27" t="str">
        <f>IFERROR((SUMIFS(Table7[Feed use (tonnes)],Table7[Species in production (select)],Table11[[#This Row],[Species in production]])/Table11[[#This Row],[ASC certified net production volume (tonnes)]]), "")</f>
        <v/>
      </c>
      <c r="T34" s="27" t="str" cm="1">
        <f t="array" ref="T34" xml:space="preserve"> IFERROR((((SUMPRODUCT((Q34=Table10[Species in production])*(Table10[Animal protein content (%)]))*R34)/100)/(SUMIFS(Table38[Protein fed per feed type (tonnes)], Table7[Species in production (select)],Table11[[#This Row],[Species in production]]))*100), "")</f>
        <v/>
      </c>
      <c r="U34" s="27" t="str">
        <f xml:space="preserve"> IFERROR((SUMIFS(Table38[FM%/yield*feed use], Table7[Species in production (select)],Table11[[#This Row],[Species in production]])/SUMIFS(Table7[Feed use (tonnes)],Table7[Species in production (select)], Table11[[#This Row],[Species in production]])*Table11[[#This Row],[eFCR]]), "")</f>
        <v/>
      </c>
      <c r="V34" s="27" t="str">
        <f xml:space="preserve"> IFERROR((SUMIFS(Table38[FO%/yield*feed use], Table7[Species in production (select)],Table11[[#This Row],[Species in production]])/SUMIFS(Table7[Feed use (tonnes)], Table7[Species in production (select)], Table11[[#This Row],[Species in production]])*Table11[[#This Row],[eFCR]]), "")</f>
        <v/>
      </c>
      <c r="W34" s="27" t="str">
        <f xml:space="preserve"> IFERROR((SUMIFS(Table38[total EPA and DHA in feed, per type (g)],Table7[Species in production (select)], Table11[[#This Row],[Species in production]])/(SUMIFS(Table7[Feed use (tonnes)],Table7[Species in production (select)], Table11[[#This Row],[Species in production]])*1000)), "")</f>
        <v/>
      </c>
      <c r="X34" s="27" t="str">
        <f>IFERROR((SUMIFS(Table38[EPA and DHA% * feed use],Table7[Species in production (select)], Table11[[#This Row],[Species in production]])/(SUMIFS(Table7[Feed use (tonnes)],Table7[Species in production (select)], Table11[[#This Row],[Species in production]]))), "")</f>
        <v/>
      </c>
    </row>
    <row r="35" spans="3:24" x14ac:dyDescent="0.4">
      <c r="C35" s="31"/>
      <c r="D35" s="235"/>
      <c r="E35" s="236"/>
      <c r="F35" s="236"/>
      <c r="G35" s="236"/>
      <c r="H35" s="236"/>
      <c r="I35" s="31"/>
      <c r="J35" s="236"/>
      <c r="K35" s="30"/>
      <c r="L35" s="237"/>
      <c r="N35" s="19" t="str">
        <f>IF('Dropdown tables - Production'!G33= 0, "", 'Dropdown tables - Production'!G33)</f>
        <v/>
      </c>
      <c r="O35" s="31"/>
      <c r="Q35" s="19" t="str">
        <f>IF('Dropdown tables - Production'!G33= 0, "", 'Dropdown tables - Production'!G33)</f>
        <v/>
      </c>
      <c r="R35" s="27" t="str">
        <f>IF(Table11[[#This Row],[Species in production]]= "", "", SUMIFS(Table126[ASC certified net production volume (tonnes)],Table126[Species in production (Latin name) (select)],Feed!Q35))</f>
        <v/>
      </c>
      <c r="S35" s="27" t="str">
        <f>IFERROR((SUMIFS(Table7[Feed use (tonnes)],Table7[Species in production (select)],Table11[[#This Row],[Species in production]])/Table11[[#This Row],[ASC certified net production volume (tonnes)]]), "")</f>
        <v/>
      </c>
      <c r="T35" s="27" t="str" cm="1">
        <f t="array" ref="T35" xml:space="preserve"> IFERROR((((SUMPRODUCT((Q35=Table10[Species in production])*(Table10[Animal protein content (%)]))*R35)/100)/(SUMIFS(Table38[Protein fed per feed type (tonnes)], Table7[Species in production (select)],Table11[[#This Row],[Species in production]]))*100), "")</f>
        <v/>
      </c>
      <c r="U35" s="27" t="str">
        <f xml:space="preserve"> IFERROR((SUMIFS(Table38[FM%/yield*feed use], Table7[Species in production (select)],Table11[[#This Row],[Species in production]])/SUMIFS(Table7[Feed use (tonnes)],Table7[Species in production (select)], Table11[[#This Row],[Species in production]])*Table11[[#This Row],[eFCR]]), "")</f>
        <v/>
      </c>
      <c r="V35" s="27" t="str">
        <f xml:space="preserve"> IFERROR((SUMIFS(Table38[FO%/yield*feed use], Table7[Species in production (select)],Table11[[#This Row],[Species in production]])/SUMIFS(Table7[Feed use (tonnes)], Table7[Species in production (select)], Table11[[#This Row],[Species in production]])*Table11[[#This Row],[eFCR]]), "")</f>
        <v/>
      </c>
      <c r="W35" s="27" t="str">
        <f xml:space="preserve"> IFERROR((SUMIFS(Table38[total EPA and DHA in feed, per type (g)],Table7[Species in production (select)], Table11[[#This Row],[Species in production]])/(SUMIFS(Table7[Feed use (tonnes)],Table7[Species in production (select)], Table11[[#This Row],[Species in production]])*1000)), "")</f>
        <v/>
      </c>
      <c r="X35" s="27" t="str">
        <f>IFERROR((SUMIFS(Table38[EPA and DHA% * feed use],Table7[Species in production (select)], Table11[[#This Row],[Species in production]])/(SUMIFS(Table7[Feed use (tonnes)],Table7[Species in production (select)], Table11[[#This Row],[Species in production]]))), "")</f>
        <v/>
      </c>
    </row>
    <row r="36" spans="3:24" x14ac:dyDescent="0.4">
      <c r="C36" s="31"/>
      <c r="D36" s="235"/>
      <c r="E36" s="236"/>
      <c r="F36" s="236"/>
      <c r="G36" s="236"/>
      <c r="H36" s="236"/>
      <c r="I36" s="31"/>
      <c r="J36" s="236"/>
      <c r="K36" s="30"/>
      <c r="L36" s="237"/>
      <c r="N36" s="19" t="str">
        <f>IF('Dropdown tables - Production'!G34= 0, "", 'Dropdown tables - Production'!G34)</f>
        <v/>
      </c>
      <c r="O36" s="31"/>
      <c r="Q36" s="19" t="str">
        <f>IF('Dropdown tables - Production'!G34= 0, "", 'Dropdown tables - Production'!G34)</f>
        <v/>
      </c>
      <c r="R36" s="27" t="str">
        <f>IF(Table11[[#This Row],[Species in production]]= "", "", SUMIFS(Table126[ASC certified net production volume (tonnes)],Table126[Species in production (Latin name) (select)],Feed!Q36))</f>
        <v/>
      </c>
      <c r="S36" s="27" t="str">
        <f>IFERROR((SUMIFS(Table7[Feed use (tonnes)],Table7[Species in production (select)],Table11[[#This Row],[Species in production]])/Table11[[#This Row],[ASC certified net production volume (tonnes)]]), "")</f>
        <v/>
      </c>
      <c r="T36" s="27" t="str" cm="1">
        <f t="array" ref="T36" xml:space="preserve"> IFERROR((((SUMPRODUCT((Q36=Table10[Species in production])*(Table10[Animal protein content (%)]))*R36)/100)/(SUMIFS(Table38[Protein fed per feed type (tonnes)], Table7[Species in production (select)],Table11[[#This Row],[Species in production]]))*100), "")</f>
        <v/>
      </c>
      <c r="U36" s="27" t="str">
        <f xml:space="preserve"> IFERROR((SUMIFS(Table38[FM%/yield*feed use], Table7[Species in production (select)],Table11[[#This Row],[Species in production]])/SUMIFS(Table7[Feed use (tonnes)],Table7[Species in production (select)], Table11[[#This Row],[Species in production]])*Table11[[#This Row],[eFCR]]), "")</f>
        <v/>
      </c>
      <c r="V36" s="27" t="str">
        <f xml:space="preserve"> IFERROR((SUMIFS(Table38[FO%/yield*feed use], Table7[Species in production (select)],Table11[[#This Row],[Species in production]])/SUMIFS(Table7[Feed use (tonnes)], Table7[Species in production (select)], Table11[[#This Row],[Species in production]])*Table11[[#This Row],[eFCR]]), "")</f>
        <v/>
      </c>
      <c r="W36" s="27" t="str">
        <f xml:space="preserve"> IFERROR((SUMIFS(Table38[total EPA and DHA in feed, per type (g)],Table7[Species in production (select)], Table11[[#This Row],[Species in production]])/(SUMIFS(Table7[Feed use (tonnes)],Table7[Species in production (select)], Table11[[#This Row],[Species in production]])*1000)), "")</f>
        <v/>
      </c>
      <c r="X36" s="27" t="str">
        <f>IFERROR((SUMIFS(Table38[EPA and DHA% * feed use],Table7[Species in production (select)], Table11[[#This Row],[Species in production]])/(SUMIFS(Table7[Feed use (tonnes)],Table7[Species in production (select)], Table11[[#This Row],[Species in production]]))), "")</f>
        <v/>
      </c>
    </row>
    <row r="37" spans="3:24" x14ac:dyDescent="0.4">
      <c r="C37" s="31"/>
      <c r="D37" s="235"/>
      <c r="E37" s="236"/>
      <c r="F37" s="236"/>
      <c r="G37" s="236"/>
      <c r="H37" s="236"/>
      <c r="I37" s="31"/>
      <c r="J37" s="236"/>
      <c r="K37" s="30"/>
      <c r="L37" s="237"/>
      <c r="N37" s="19" t="str">
        <f>IF('Dropdown tables - Production'!G35= 0, "", 'Dropdown tables - Production'!G35)</f>
        <v/>
      </c>
      <c r="O37" s="31"/>
      <c r="Q37" s="19" t="str">
        <f>IF('Dropdown tables - Production'!G35= 0, "", 'Dropdown tables - Production'!G35)</f>
        <v/>
      </c>
      <c r="R37" s="27" t="str">
        <f>IF(Table11[[#This Row],[Species in production]]= "", "", SUMIFS(Table126[ASC certified net production volume (tonnes)],Table126[Species in production (Latin name) (select)],Feed!Q37))</f>
        <v/>
      </c>
      <c r="S37" s="27" t="str">
        <f>IFERROR((SUMIFS(Table7[Feed use (tonnes)],Table7[Species in production (select)],Table11[[#This Row],[Species in production]])/Table11[[#This Row],[ASC certified net production volume (tonnes)]]), "")</f>
        <v/>
      </c>
      <c r="T37" s="27" t="str" cm="1">
        <f t="array" ref="T37" xml:space="preserve"> IFERROR((((SUMPRODUCT((Q37=Table10[Species in production])*(Table10[Animal protein content (%)]))*R37)/100)/(SUMIFS(Table38[Protein fed per feed type (tonnes)], Table7[Species in production (select)],Table11[[#This Row],[Species in production]]))*100), "")</f>
        <v/>
      </c>
      <c r="U37" s="27" t="str">
        <f xml:space="preserve"> IFERROR((SUMIFS(Table38[FM%/yield*feed use], Table7[Species in production (select)],Table11[[#This Row],[Species in production]])/SUMIFS(Table7[Feed use (tonnes)],Table7[Species in production (select)], Table11[[#This Row],[Species in production]])*Table11[[#This Row],[eFCR]]), "")</f>
        <v/>
      </c>
      <c r="V37" s="27" t="str">
        <f xml:space="preserve"> IFERROR((SUMIFS(Table38[FO%/yield*feed use], Table7[Species in production (select)],Table11[[#This Row],[Species in production]])/SUMIFS(Table7[Feed use (tonnes)], Table7[Species in production (select)], Table11[[#This Row],[Species in production]])*Table11[[#This Row],[eFCR]]), "")</f>
        <v/>
      </c>
      <c r="W37" s="27" t="str">
        <f xml:space="preserve"> IFERROR((SUMIFS(Table38[total EPA and DHA in feed, per type (g)],Table7[Species in production (select)], Table11[[#This Row],[Species in production]])/(SUMIFS(Table7[Feed use (tonnes)],Table7[Species in production (select)], Table11[[#This Row],[Species in production]])*1000)), "")</f>
        <v/>
      </c>
      <c r="X37" s="27" t="str">
        <f>IFERROR((SUMIFS(Table38[EPA and DHA% * feed use],Table7[Species in production (select)], Table11[[#This Row],[Species in production]])/(SUMIFS(Table7[Feed use (tonnes)],Table7[Species in production (select)], Table11[[#This Row],[Species in production]]))), "")</f>
        <v/>
      </c>
    </row>
    <row r="38" spans="3:24" x14ac:dyDescent="0.4">
      <c r="C38" s="31"/>
      <c r="D38" s="235"/>
      <c r="E38" s="236"/>
      <c r="F38" s="236"/>
      <c r="G38" s="236"/>
      <c r="H38" s="236"/>
      <c r="I38" s="31"/>
      <c r="J38" s="236"/>
      <c r="K38" s="30"/>
      <c r="L38" s="237"/>
      <c r="N38" s="19" t="str">
        <f>IF('Dropdown tables - Production'!G36= 0, "", 'Dropdown tables - Production'!G36)</f>
        <v/>
      </c>
      <c r="O38" s="31"/>
      <c r="Q38" s="19" t="str">
        <f>IF('Dropdown tables - Production'!G36= 0, "", 'Dropdown tables - Production'!G36)</f>
        <v/>
      </c>
      <c r="R38" s="27" t="str">
        <f>IF(Table11[[#This Row],[Species in production]]= "", "", SUMIFS(Table126[ASC certified net production volume (tonnes)],Table126[Species in production (Latin name) (select)],Feed!Q38))</f>
        <v/>
      </c>
      <c r="S38" s="27" t="str">
        <f>IFERROR((SUMIFS(Table7[Feed use (tonnes)],Table7[Species in production (select)],Table11[[#This Row],[Species in production]])/Table11[[#This Row],[ASC certified net production volume (tonnes)]]), "")</f>
        <v/>
      </c>
      <c r="T38" s="27" t="str" cm="1">
        <f t="array" ref="T38" xml:space="preserve"> IFERROR((((SUMPRODUCT((Q38=Table10[Species in production])*(Table10[Animal protein content (%)]))*R38)/100)/(SUMIFS(Table38[Protein fed per feed type (tonnes)], Table7[Species in production (select)],Table11[[#This Row],[Species in production]]))*100), "")</f>
        <v/>
      </c>
      <c r="U38" s="27" t="str">
        <f xml:space="preserve"> IFERROR((SUMIFS(Table38[FM%/yield*feed use], Table7[Species in production (select)],Table11[[#This Row],[Species in production]])/SUMIFS(Table7[Feed use (tonnes)],Table7[Species in production (select)], Table11[[#This Row],[Species in production]])*Table11[[#This Row],[eFCR]]), "")</f>
        <v/>
      </c>
      <c r="V38" s="27" t="str">
        <f xml:space="preserve"> IFERROR((SUMIFS(Table38[FO%/yield*feed use], Table7[Species in production (select)],Table11[[#This Row],[Species in production]])/SUMIFS(Table7[Feed use (tonnes)], Table7[Species in production (select)], Table11[[#This Row],[Species in production]])*Table11[[#This Row],[eFCR]]), "")</f>
        <v/>
      </c>
      <c r="W38" s="27" t="str">
        <f xml:space="preserve"> IFERROR((SUMIFS(Table38[total EPA and DHA in feed, per type (g)],Table7[Species in production (select)], Table11[[#This Row],[Species in production]])/(SUMIFS(Table7[Feed use (tonnes)],Table7[Species in production (select)], Table11[[#This Row],[Species in production]])*1000)), "")</f>
        <v/>
      </c>
      <c r="X38" s="27" t="str">
        <f>IFERROR((SUMIFS(Table38[EPA and DHA% * feed use],Table7[Species in production (select)], Table11[[#This Row],[Species in production]])/(SUMIFS(Table7[Feed use (tonnes)],Table7[Species in production (select)], Table11[[#This Row],[Species in production]]))), "")</f>
        <v/>
      </c>
    </row>
    <row r="39" spans="3:24" x14ac:dyDescent="0.4">
      <c r="C39" s="31"/>
      <c r="D39" s="235"/>
      <c r="E39" s="236"/>
      <c r="F39" s="236"/>
      <c r="G39" s="236"/>
      <c r="H39" s="236"/>
      <c r="I39" s="31"/>
      <c r="J39" s="236"/>
      <c r="K39" s="30"/>
      <c r="L39" s="237"/>
      <c r="N39" s="19" t="str">
        <f>IF('Dropdown tables - Production'!G37= 0, "", 'Dropdown tables - Production'!G37)</f>
        <v/>
      </c>
      <c r="O39" s="31"/>
      <c r="Q39" s="19" t="str">
        <f>IF('Dropdown tables - Production'!G37= 0, "", 'Dropdown tables - Production'!G37)</f>
        <v/>
      </c>
      <c r="R39" s="27" t="str">
        <f>IF(Table11[[#This Row],[Species in production]]= "", "", SUMIFS(Table126[ASC certified net production volume (tonnes)],Table126[Species in production (Latin name) (select)],Feed!Q39))</f>
        <v/>
      </c>
      <c r="S39" s="27" t="str">
        <f>IFERROR((SUMIFS(Table7[Feed use (tonnes)],Table7[Species in production (select)],Table11[[#This Row],[Species in production]])/Table11[[#This Row],[ASC certified net production volume (tonnes)]]), "")</f>
        <v/>
      </c>
      <c r="T39" s="27" t="str" cm="1">
        <f t="array" ref="T39" xml:space="preserve"> IFERROR((((SUMPRODUCT((Q39=Table10[Species in production])*(Table10[Animal protein content (%)]))*R39)/100)/(SUMIFS(Table38[Protein fed per feed type (tonnes)], Table7[Species in production (select)],Table11[[#This Row],[Species in production]]))*100), "")</f>
        <v/>
      </c>
      <c r="U39" s="27" t="str">
        <f xml:space="preserve"> IFERROR((SUMIFS(Table38[FM%/yield*feed use], Table7[Species in production (select)],Table11[[#This Row],[Species in production]])/SUMIFS(Table7[Feed use (tonnes)],Table7[Species in production (select)], Table11[[#This Row],[Species in production]])*Table11[[#This Row],[eFCR]]), "")</f>
        <v/>
      </c>
      <c r="V39" s="27" t="str">
        <f xml:space="preserve"> IFERROR((SUMIFS(Table38[FO%/yield*feed use], Table7[Species in production (select)],Table11[[#This Row],[Species in production]])/SUMIFS(Table7[Feed use (tonnes)], Table7[Species in production (select)], Table11[[#This Row],[Species in production]])*Table11[[#This Row],[eFCR]]), "")</f>
        <v/>
      </c>
      <c r="W39" s="27" t="str">
        <f xml:space="preserve"> IFERROR((SUMIFS(Table38[total EPA and DHA in feed, per type (g)],Table7[Species in production (select)], Table11[[#This Row],[Species in production]])/(SUMIFS(Table7[Feed use (tonnes)],Table7[Species in production (select)], Table11[[#This Row],[Species in production]])*1000)), "")</f>
        <v/>
      </c>
      <c r="X39" s="27" t="str">
        <f>IFERROR((SUMIFS(Table38[EPA and DHA% * feed use],Table7[Species in production (select)], Table11[[#This Row],[Species in production]])/(SUMIFS(Table7[Feed use (tonnes)],Table7[Species in production (select)], Table11[[#This Row],[Species in production]]))), "")</f>
        <v/>
      </c>
    </row>
    <row r="40" spans="3:24" x14ac:dyDescent="0.4">
      <c r="C40" s="31"/>
      <c r="D40" s="235"/>
      <c r="E40" s="236"/>
      <c r="F40" s="236"/>
      <c r="G40" s="236"/>
      <c r="H40" s="236"/>
      <c r="I40" s="31"/>
      <c r="J40" s="236"/>
      <c r="K40" s="30"/>
      <c r="L40" s="237"/>
      <c r="N40" s="19" t="str">
        <f>IF('Dropdown tables - Production'!G38= 0, "", 'Dropdown tables - Production'!G38)</f>
        <v/>
      </c>
      <c r="O40" s="31"/>
      <c r="Q40" s="19" t="str">
        <f>IF('Dropdown tables - Production'!G38= 0, "", 'Dropdown tables - Production'!G38)</f>
        <v/>
      </c>
      <c r="R40" s="27" t="str">
        <f>IF(Table11[[#This Row],[Species in production]]= "", "", SUMIFS(Table126[ASC certified net production volume (tonnes)],Table126[Species in production (Latin name) (select)],Feed!Q40))</f>
        <v/>
      </c>
      <c r="S40" s="27" t="str">
        <f>IFERROR((SUMIFS(Table7[Feed use (tonnes)],Table7[Species in production (select)],Table11[[#This Row],[Species in production]])/Table11[[#This Row],[ASC certified net production volume (tonnes)]]), "")</f>
        <v/>
      </c>
      <c r="T40" s="27" t="str" cm="1">
        <f t="array" ref="T40" xml:space="preserve"> IFERROR((((SUMPRODUCT((Q40=Table10[Species in production])*(Table10[Animal protein content (%)]))*R40)/100)/(SUMIFS(Table38[Protein fed per feed type (tonnes)], Table7[Species in production (select)],Table11[[#This Row],[Species in production]]))*100), "")</f>
        <v/>
      </c>
      <c r="U40" s="27" t="str">
        <f xml:space="preserve"> IFERROR((SUMIFS(Table38[FM%/yield*feed use], Table7[Species in production (select)],Table11[[#This Row],[Species in production]])/SUMIFS(Table7[Feed use (tonnes)],Table7[Species in production (select)], Table11[[#This Row],[Species in production]])*Table11[[#This Row],[eFCR]]), "")</f>
        <v/>
      </c>
      <c r="V40" s="27" t="str">
        <f xml:space="preserve"> IFERROR((SUMIFS(Table38[FO%/yield*feed use], Table7[Species in production (select)],Table11[[#This Row],[Species in production]])/SUMIFS(Table7[Feed use (tonnes)], Table7[Species in production (select)], Table11[[#This Row],[Species in production]])*Table11[[#This Row],[eFCR]]), "")</f>
        <v/>
      </c>
      <c r="W40" s="27" t="str">
        <f xml:space="preserve"> IFERROR((SUMIFS(Table38[total EPA and DHA in feed, per type (g)],Table7[Species in production (select)], Table11[[#This Row],[Species in production]])/(SUMIFS(Table7[Feed use (tonnes)],Table7[Species in production (select)], Table11[[#This Row],[Species in production]])*1000)), "")</f>
        <v/>
      </c>
      <c r="X40" s="27" t="str">
        <f>IFERROR((SUMIFS(Table38[EPA and DHA% * feed use],Table7[Species in production (select)], Table11[[#This Row],[Species in production]])/(SUMIFS(Table7[Feed use (tonnes)],Table7[Species in production (select)], Table11[[#This Row],[Species in production]]))), "")</f>
        <v/>
      </c>
    </row>
    <row r="41" spans="3:24" x14ac:dyDescent="0.4">
      <c r="C41" s="31"/>
      <c r="D41" s="235"/>
      <c r="E41" s="236"/>
      <c r="F41" s="236"/>
      <c r="G41" s="236"/>
      <c r="H41" s="236"/>
      <c r="I41" s="31"/>
      <c r="J41" s="236"/>
      <c r="K41" s="30"/>
      <c r="L41" s="237"/>
      <c r="N41" s="19" t="str">
        <f>IF('Dropdown tables - Production'!G39= 0, "", 'Dropdown tables - Production'!G39)</f>
        <v/>
      </c>
      <c r="O41" s="31"/>
      <c r="Q41" s="19" t="str">
        <f>IF('Dropdown tables - Production'!G39= 0, "", 'Dropdown tables - Production'!G39)</f>
        <v/>
      </c>
      <c r="R41" s="27" t="str">
        <f>IF(Table11[[#This Row],[Species in production]]= "", "", SUMIFS(Table126[ASC certified net production volume (tonnes)],Table126[Species in production (Latin name) (select)],Feed!Q41))</f>
        <v/>
      </c>
      <c r="S41" s="27" t="str">
        <f>IFERROR((SUMIFS(Table7[Feed use (tonnes)],Table7[Species in production (select)],Table11[[#This Row],[Species in production]])/Table11[[#This Row],[ASC certified net production volume (tonnes)]]), "")</f>
        <v/>
      </c>
      <c r="T41" s="27" t="str" cm="1">
        <f t="array" ref="T41" xml:space="preserve"> IFERROR((((SUMPRODUCT((Q41=Table10[Species in production])*(Table10[Animal protein content (%)]))*R41)/100)/(SUMIFS(Table38[Protein fed per feed type (tonnes)], Table7[Species in production (select)],Table11[[#This Row],[Species in production]]))*100), "")</f>
        <v/>
      </c>
      <c r="U41" s="27" t="str">
        <f xml:space="preserve"> IFERROR((SUMIFS(Table38[FM%/yield*feed use], Table7[Species in production (select)],Table11[[#This Row],[Species in production]])/SUMIFS(Table7[Feed use (tonnes)],Table7[Species in production (select)], Table11[[#This Row],[Species in production]])*Table11[[#This Row],[eFCR]]), "")</f>
        <v/>
      </c>
      <c r="V41" s="27" t="str">
        <f xml:space="preserve"> IFERROR((SUMIFS(Table38[FO%/yield*feed use], Table7[Species in production (select)],Table11[[#This Row],[Species in production]])/SUMIFS(Table7[Feed use (tonnes)], Table7[Species in production (select)], Table11[[#This Row],[Species in production]])*Table11[[#This Row],[eFCR]]), "")</f>
        <v/>
      </c>
      <c r="W41" s="27" t="str">
        <f xml:space="preserve"> IFERROR((SUMIFS(Table38[total EPA and DHA in feed, per type (g)],Table7[Species in production (select)], Table11[[#This Row],[Species in production]])/(SUMIFS(Table7[Feed use (tonnes)],Table7[Species in production (select)], Table11[[#This Row],[Species in production]])*1000)), "")</f>
        <v/>
      </c>
      <c r="X41" s="27" t="str">
        <f>IFERROR((SUMIFS(Table38[EPA and DHA% * feed use],Table7[Species in production (select)], Table11[[#This Row],[Species in production]])/(SUMIFS(Table7[Feed use (tonnes)],Table7[Species in production (select)], Table11[[#This Row],[Species in production]]))), "")</f>
        <v/>
      </c>
    </row>
    <row r="42" spans="3:24" x14ac:dyDescent="0.4">
      <c r="C42" s="31"/>
      <c r="D42" s="235"/>
      <c r="E42" s="236"/>
      <c r="F42" s="236"/>
      <c r="G42" s="236"/>
      <c r="H42" s="236"/>
      <c r="I42" s="31"/>
      <c r="J42" s="236"/>
      <c r="K42" s="30"/>
      <c r="L42" s="237"/>
      <c r="N42" s="19" t="str">
        <f>IF('Dropdown tables - Production'!G40= 0, "", 'Dropdown tables - Production'!G40)</f>
        <v/>
      </c>
      <c r="O42" s="31"/>
      <c r="Q42" s="19" t="str">
        <f>IF('Dropdown tables - Production'!G40= 0, "", 'Dropdown tables - Production'!G40)</f>
        <v/>
      </c>
      <c r="R42" s="27" t="str">
        <f>IF(Table11[[#This Row],[Species in production]]= "", "", SUMIFS(Table126[ASC certified net production volume (tonnes)],Table126[Species in production (Latin name) (select)],Feed!Q42))</f>
        <v/>
      </c>
      <c r="S42" s="27" t="str">
        <f>IFERROR((SUMIFS(Table7[Feed use (tonnes)],Table7[Species in production (select)],Table11[[#This Row],[Species in production]])/Table11[[#This Row],[ASC certified net production volume (tonnes)]]), "")</f>
        <v/>
      </c>
      <c r="T42" s="27" t="str" cm="1">
        <f t="array" ref="T42" xml:space="preserve"> IFERROR((((SUMPRODUCT((Q42=Table10[Species in production])*(Table10[Animal protein content (%)]))*R42)/100)/(SUMIFS(Table38[Protein fed per feed type (tonnes)], Table7[Species in production (select)],Table11[[#This Row],[Species in production]]))*100), "")</f>
        <v/>
      </c>
      <c r="U42" s="27" t="str">
        <f xml:space="preserve"> IFERROR((SUMIFS(Table38[FM%/yield*feed use], Table7[Species in production (select)],Table11[[#This Row],[Species in production]])/SUMIFS(Table7[Feed use (tonnes)],Table7[Species in production (select)], Table11[[#This Row],[Species in production]])*Table11[[#This Row],[eFCR]]), "")</f>
        <v/>
      </c>
      <c r="V42" s="27" t="str">
        <f xml:space="preserve"> IFERROR((SUMIFS(Table38[FO%/yield*feed use], Table7[Species in production (select)],Table11[[#This Row],[Species in production]])/SUMIFS(Table7[Feed use (tonnes)], Table7[Species in production (select)], Table11[[#This Row],[Species in production]])*Table11[[#This Row],[eFCR]]), "")</f>
        <v/>
      </c>
      <c r="W42" s="27" t="str">
        <f xml:space="preserve"> IFERROR((SUMIFS(Table38[total EPA and DHA in feed, per type (g)],Table7[Species in production (select)], Table11[[#This Row],[Species in production]])/(SUMIFS(Table7[Feed use (tonnes)],Table7[Species in production (select)], Table11[[#This Row],[Species in production]])*1000)), "")</f>
        <v/>
      </c>
      <c r="X42" s="27" t="str">
        <f>IFERROR((SUMIFS(Table38[EPA and DHA% * feed use],Table7[Species in production (select)], Table11[[#This Row],[Species in production]])/(SUMIFS(Table7[Feed use (tonnes)],Table7[Species in production (select)], Table11[[#This Row],[Species in production]]))), "")</f>
        <v/>
      </c>
    </row>
    <row r="43" spans="3:24" x14ac:dyDescent="0.4">
      <c r="C43" s="31"/>
      <c r="D43" s="235"/>
      <c r="E43" s="236"/>
      <c r="F43" s="236"/>
      <c r="G43" s="236"/>
      <c r="H43" s="236"/>
      <c r="I43" s="31"/>
      <c r="J43" s="236"/>
      <c r="K43" s="30"/>
      <c r="L43" s="237"/>
      <c r="N43" s="19" t="str">
        <f>IF('Dropdown tables - Production'!G41= 0, "", 'Dropdown tables - Production'!G41)</f>
        <v/>
      </c>
      <c r="O43" s="31"/>
      <c r="Q43" s="19" t="str">
        <f>IF('Dropdown tables - Production'!G41= 0, "", 'Dropdown tables - Production'!G41)</f>
        <v/>
      </c>
      <c r="R43" s="27" t="str">
        <f>IF(Table11[[#This Row],[Species in production]]= "", "", SUMIFS(Table126[ASC certified net production volume (tonnes)],Table126[Species in production (Latin name) (select)],Feed!Q43))</f>
        <v/>
      </c>
      <c r="S43" s="27" t="str">
        <f>IFERROR((SUMIFS(Table7[Feed use (tonnes)],Table7[Species in production (select)],Table11[[#This Row],[Species in production]])/Table11[[#This Row],[ASC certified net production volume (tonnes)]]), "")</f>
        <v/>
      </c>
      <c r="T43" s="27" t="str" cm="1">
        <f t="array" ref="T43" xml:space="preserve"> IFERROR((((SUMPRODUCT((Q43=Table10[Species in production])*(Table10[Animal protein content (%)]))*R43)/100)/(SUMIFS(Table38[Protein fed per feed type (tonnes)], Table7[Species in production (select)],Table11[[#This Row],[Species in production]]))*100), "")</f>
        <v/>
      </c>
      <c r="U43" s="27" t="str">
        <f xml:space="preserve"> IFERROR((SUMIFS(Table38[FM%/yield*feed use], Table7[Species in production (select)],Table11[[#This Row],[Species in production]])/SUMIFS(Table7[Feed use (tonnes)],Table7[Species in production (select)], Table11[[#This Row],[Species in production]])*Table11[[#This Row],[eFCR]]), "")</f>
        <v/>
      </c>
      <c r="V43" s="27" t="str">
        <f xml:space="preserve"> IFERROR((SUMIFS(Table38[FO%/yield*feed use], Table7[Species in production (select)],Table11[[#This Row],[Species in production]])/SUMIFS(Table7[Feed use (tonnes)], Table7[Species in production (select)], Table11[[#This Row],[Species in production]])*Table11[[#This Row],[eFCR]]), "")</f>
        <v/>
      </c>
      <c r="W43" s="27" t="str">
        <f xml:space="preserve"> IFERROR((SUMIFS(Table38[total EPA and DHA in feed, per type (g)],Table7[Species in production (select)], Table11[[#This Row],[Species in production]])/(SUMIFS(Table7[Feed use (tonnes)],Table7[Species in production (select)], Table11[[#This Row],[Species in production]])*1000)), "")</f>
        <v/>
      </c>
      <c r="X43" s="27" t="str">
        <f>IFERROR((SUMIFS(Table38[EPA and DHA% * feed use],Table7[Species in production (select)], Table11[[#This Row],[Species in production]])/(SUMIFS(Table7[Feed use (tonnes)],Table7[Species in production (select)], Table11[[#This Row],[Species in production]]))), "")</f>
        <v/>
      </c>
    </row>
    <row r="44" spans="3:24" x14ac:dyDescent="0.4">
      <c r="C44" s="31"/>
      <c r="D44" s="235"/>
      <c r="E44" s="236"/>
      <c r="F44" s="236"/>
      <c r="G44" s="236"/>
      <c r="H44" s="236"/>
      <c r="I44" s="31"/>
      <c r="J44" s="236"/>
      <c r="K44" s="30"/>
      <c r="L44" s="237"/>
      <c r="N44" s="19" t="str">
        <f>IF('Dropdown tables - Production'!G42= 0, "", 'Dropdown tables - Production'!G42)</f>
        <v/>
      </c>
      <c r="O44" s="31"/>
      <c r="Q44" s="19" t="str">
        <f>IF('Dropdown tables - Production'!G42= 0, "", 'Dropdown tables - Production'!G42)</f>
        <v/>
      </c>
      <c r="R44" s="27" t="str">
        <f>IF(Table11[[#This Row],[Species in production]]= "", "", SUMIFS(Table126[ASC certified net production volume (tonnes)],Table126[Species in production (Latin name) (select)],Feed!Q44))</f>
        <v/>
      </c>
      <c r="S44" s="27" t="str">
        <f>IFERROR((SUMIFS(Table7[Feed use (tonnes)],Table7[Species in production (select)],Table11[[#This Row],[Species in production]])/Table11[[#This Row],[ASC certified net production volume (tonnes)]]), "")</f>
        <v/>
      </c>
      <c r="T44" s="27" t="str" cm="1">
        <f t="array" ref="T44" xml:space="preserve"> IFERROR((((SUMPRODUCT((Q44=Table10[Species in production])*(Table10[Animal protein content (%)]))*R44)/100)/(SUMIFS(Table38[Protein fed per feed type (tonnes)], Table7[Species in production (select)],Table11[[#This Row],[Species in production]]))*100), "")</f>
        <v/>
      </c>
      <c r="U44" s="27" t="str">
        <f xml:space="preserve"> IFERROR((SUMIFS(Table38[FM%/yield*feed use], Table7[Species in production (select)],Table11[[#This Row],[Species in production]])/SUMIFS(Table7[Feed use (tonnes)],Table7[Species in production (select)], Table11[[#This Row],[Species in production]])*Table11[[#This Row],[eFCR]]), "")</f>
        <v/>
      </c>
      <c r="V44" s="27" t="str">
        <f xml:space="preserve"> IFERROR((SUMIFS(Table38[FO%/yield*feed use], Table7[Species in production (select)],Table11[[#This Row],[Species in production]])/SUMIFS(Table7[Feed use (tonnes)], Table7[Species in production (select)], Table11[[#This Row],[Species in production]])*Table11[[#This Row],[eFCR]]), "")</f>
        <v/>
      </c>
      <c r="W44" s="27" t="str">
        <f xml:space="preserve"> IFERROR((SUMIFS(Table38[total EPA and DHA in feed, per type (g)],Table7[Species in production (select)], Table11[[#This Row],[Species in production]])/(SUMIFS(Table7[Feed use (tonnes)],Table7[Species in production (select)], Table11[[#This Row],[Species in production]])*1000)), "")</f>
        <v/>
      </c>
      <c r="X44" s="27" t="str">
        <f>IFERROR((SUMIFS(Table38[EPA and DHA% * feed use],Table7[Species in production (select)], Table11[[#This Row],[Species in production]])/(SUMIFS(Table7[Feed use (tonnes)],Table7[Species in production (select)], Table11[[#This Row],[Species in production]]))), "")</f>
        <v/>
      </c>
    </row>
    <row r="45" spans="3:24" x14ac:dyDescent="0.4">
      <c r="C45" s="31"/>
      <c r="D45" s="235"/>
      <c r="E45" s="236"/>
      <c r="F45" s="236"/>
      <c r="G45" s="236"/>
      <c r="H45" s="236"/>
      <c r="I45" s="31"/>
      <c r="J45" s="236"/>
      <c r="K45" s="30"/>
      <c r="L45" s="237"/>
      <c r="N45" s="19" t="str">
        <f>IF('Dropdown tables - Production'!G43= 0, "", 'Dropdown tables - Production'!G43)</f>
        <v/>
      </c>
      <c r="O45" s="31"/>
      <c r="Q45" s="19" t="str">
        <f>IF('Dropdown tables - Production'!G43= 0, "", 'Dropdown tables - Production'!G43)</f>
        <v/>
      </c>
      <c r="R45" s="27" t="str">
        <f>IF(Table11[[#This Row],[Species in production]]= "", "", SUMIFS(Table126[ASC certified net production volume (tonnes)],Table126[Species in production (Latin name) (select)],Feed!Q45))</f>
        <v/>
      </c>
      <c r="S45" s="27" t="str">
        <f>IFERROR((SUMIFS(Table7[Feed use (tonnes)],Table7[Species in production (select)],Table11[[#This Row],[Species in production]])/Table11[[#This Row],[ASC certified net production volume (tonnes)]]), "")</f>
        <v/>
      </c>
      <c r="T45" s="27" t="str" cm="1">
        <f t="array" ref="T45" xml:space="preserve"> IFERROR((((SUMPRODUCT((Q45=Table10[Species in production])*(Table10[Animal protein content (%)]))*R45)/100)/(SUMIFS(Table38[Protein fed per feed type (tonnes)], Table7[Species in production (select)],Table11[[#This Row],[Species in production]]))*100), "")</f>
        <v/>
      </c>
      <c r="U45" s="27" t="str">
        <f xml:space="preserve"> IFERROR((SUMIFS(Table38[FM%/yield*feed use], Table7[Species in production (select)],Table11[[#This Row],[Species in production]])/SUMIFS(Table7[Feed use (tonnes)],Table7[Species in production (select)], Table11[[#This Row],[Species in production]])*Table11[[#This Row],[eFCR]]), "")</f>
        <v/>
      </c>
      <c r="V45" s="27" t="str">
        <f xml:space="preserve"> IFERROR((SUMIFS(Table38[FO%/yield*feed use], Table7[Species in production (select)],Table11[[#This Row],[Species in production]])/SUMIFS(Table7[Feed use (tonnes)], Table7[Species in production (select)], Table11[[#This Row],[Species in production]])*Table11[[#This Row],[eFCR]]), "")</f>
        <v/>
      </c>
      <c r="W45" s="27" t="str">
        <f xml:space="preserve"> IFERROR((SUMIFS(Table38[total EPA and DHA in feed, per type (g)],Table7[Species in production (select)], Table11[[#This Row],[Species in production]])/(SUMIFS(Table7[Feed use (tonnes)],Table7[Species in production (select)], Table11[[#This Row],[Species in production]])*1000)), "")</f>
        <v/>
      </c>
      <c r="X45" s="27" t="str">
        <f>IFERROR((SUMIFS(Table38[EPA and DHA% * feed use],Table7[Species in production (select)], Table11[[#This Row],[Species in production]])/(SUMIFS(Table7[Feed use (tonnes)],Table7[Species in production (select)], Table11[[#This Row],[Species in production]]))), "")</f>
        <v/>
      </c>
    </row>
    <row r="46" spans="3:24" x14ac:dyDescent="0.4">
      <c r="C46" s="31"/>
      <c r="D46" s="235"/>
      <c r="E46" s="236"/>
      <c r="F46" s="236"/>
      <c r="G46" s="236"/>
      <c r="H46" s="236"/>
      <c r="I46" s="31"/>
      <c r="J46" s="236"/>
      <c r="K46" s="30"/>
      <c r="L46" s="237"/>
      <c r="N46" s="19" t="str">
        <f>IF('Dropdown tables - Production'!G44= 0, "", 'Dropdown tables - Production'!G44)</f>
        <v/>
      </c>
      <c r="O46" s="31"/>
      <c r="Q46" s="19" t="str">
        <f>IF('Dropdown tables - Production'!G44= 0, "", 'Dropdown tables - Production'!G44)</f>
        <v/>
      </c>
      <c r="R46" s="27" t="str">
        <f>IF(Table11[[#This Row],[Species in production]]= "", "", SUMIFS(Table126[ASC certified net production volume (tonnes)],Table126[Species in production (Latin name) (select)],Feed!Q46))</f>
        <v/>
      </c>
      <c r="S46" s="27" t="str">
        <f>IFERROR((SUMIFS(Table7[Feed use (tonnes)],Table7[Species in production (select)],Table11[[#This Row],[Species in production]])/Table11[[#This Row],[ASC certified net production volume (tonnes)]]), "")</f>
        <v/>
      </c>
      <c r="T46" s="27" t="str" cm="1">
        <f t="array" ref="T46" xml:space="preserve"> IFERROR((((SUMPRODUCT((Q46=Table10[Species in production])*(Table10[Animal protein content (%)]))*R46)/100)/(SUMIFS(Table38[Protein fed per feed type (tonnes)], Table7[Species in production (select)],Table11[[#This Row],[Species in production]]))*100), "")</f>
        <v/>
      </c>
      <c r="U46" s="27" t="str">
        <f xml:space="preserve"> IFERROR((SUMIFS(Table38[FM%/yield*feed use], Table7[Species in production (select)],Table11[[#This Row],[Species in production]])/SUMIFS(Table7[Feed use (tonnes)],Table7[Species in production (select)], Table11[[#This Row],[Species in production]])*Table11[[#This Row],[eFCR]]), "")</f>
        <v/>
      </c>
      <c r="V46" s="27" t="str">
        <f xml:space="preserve"> IFERROR((SUMIFS(Table38[FO%/yield*feed use], Table7[Species in production (select)],Table11[[#This Row],[Species in production]])/SUMIFS(Table7[Feed use (tonnes)], Table7[Species in production (select)], Table11[[#This Row],[Species in production]])*Table11[[#This Row],[eFCR]]), "")</f>
        <v/>
      </c>
      <c r="W46" s="27" t="str">
        <f xml:space="preserve"> IFERROR((SUMIFS(Table38[total EPA and DHA in feed, per type (g)],Table7[Species in production (select)], Table11[[#This Row],[Species in production]])/(SUMIFS(Table7[Feed use (tonnes)],Table7[Species in production (select)], Table11[[#This Row],[Species in production]])*1000)), "")</f>
        <v/>
      </c>
      <c r="X46" s="27" t="str">
        <f>IFERROR((SUMIFS(Table38[EPA and DHA% * feed use],Table7[Species in production (select)], Table11[[#This Row],[Species in production]])/(SUMIFS(Table7[Feed use (tonnes)],Table7[Species in production (select)], Table11[[#This Row],[Species in production]]))), "")</f>
        <v/>
      </c>
    </row>
    <row r="47" spans="3:24" x14ac:dyDescent="0.4">
      <c r="C47" s="31"/>
      <c r="D47" s="235"/>
      <c r="E47" s="236"/>
      <c r="F47" s="236"/>
      <c r="G47" s="236"/>
      <c r="H47" s="236"/>
      <c r="I47" s="31"/>
      <c r="J47" s="236"/>
      <c r="K47" s="30"/>
      <c r="L47" s="237"/>
      <c r="M47" s="48"/>
      <c r="N47" s="19" t="str">
        <f>IF('Dropdown tables - Production'!G45= 0, "", 'Dropdown tables - Production'!G45)</f>
        <v/>
      </c>
      <c r="O47" s="31"/>
      <c r="Q47" s="19" t="str">
        <f>IF('Dropdown tables - Production'!G45= 0, "", 'Dropdown tables - Production'!G45)</f>
        <v/>
      </c>
      <c r="R47" s="27" t="str">
        <f>IF(Table11[[#This Row],[Species in production]]= "", "", SUMIFS(Table126[ASC certified net production volume (tonnes)],Table126[Species in production (Latin name) (select)],Feed!Q47))</f>
        <v/>
      </c>
      <c r="S47" s="27" t="str">
        <f>IFERROR((SUMIFS(Table7[Feed use (tonnes)],Table7[Species in production (select)],Table11[[#This Row],[Species in production]])/Table11[[#This Row],[ASC certified net production volume (tonnes)]]), "")</f>
        <v/>
      </c>
      <c r="T47" s="27" t="str" cm="1">
        <f t="array" ref="T47" xml:space="preserve"> IFERROR((((SUMPRODUCT((Q47=Table10[Species in production])*(Table10[Animal protein content (%)]))*R47)/100)/(SUMIFS(Table38[Protein fed per feed type (tonnes)], Table7[Species in production (select)],Table11[[#This Row],[Species in production]]))*100), "")</f>
        <v/>
      </c>
      <c r="U47" s="27" t="str">
        <f xml:space="preserve"> IFERROR((SUMIFS(Table38[FM%/yield*feed use], Table7[Species in production (select)],Table11[[#This Row],[Species in production]])/SUMIFS(Table7[Feed use (tonnes)],Table7[Species in production (select)], Table11[[#This Row],[Species in production]])*Table11[[#This Row],[eFCR]]), "")</f>
        <v/>
      </c>
      <c r="V47" s="27" t="str">
        <f xml:space="preserve"> IFERROR((SUMIFS(Table38[FO%/yield*feed use], Table7[Species in production (select)],Table11[[#This Row],[Species in production]])/SUMIFS(Table7[Feed use (tonnes)], Table7[Species in production (select)], Table11[[#This Row],[Species in production]])*Table11[[#This Row],[eFCR]]), "")</f>
        <v/>
      </c>
      <c r="W47" s="27" t="str">
        <f xml:space="preserve"> IFERROR((SUMIFS(Table38[total EPA and DHA in feed, per type (g)],Table7[Species in production (select)], Table11[[#This Row],[Species in production]])/(SUMIFS(Table7[Feed use (tonnes)],Table7[Species in production (select)], Table11[[#This Row],[Species in production]])*1000)), "")</f>
        <v/>
      </c>
      <c r="X47" s="27" t="str">
        <f>IFERROR((SUMIFS(Table38[EPA and DHA% * feed use],Table7[Species in production (select)], Table11[[#This Row],[Species in production]])/(SUMIFS(Table7[Feed use (tonnes)],Table7[Species in production (select)], Table11[[#This Row],[Species in production]]))), "")</f>
        <v/>
      </c>
    </row>
    <row r="48" spans="3:24" x14ac:dyDescent="0.4">
      <c r="C48" s="31"/>
      <c r="D48" s="235"/>
      <c r="E48" s="236"/>
      <c r="F48" s="236"/>
      <c r="G48" s="236"/>
      <c r="H48" s="236"/>
      <c r="I48" s="31"/>
      <c r="J48" s="236"/>
      <c r="K48" s="30"/>
      <c r="L48" s="237"/>
      <c r="N48" s="19" t="str">
        <f>IF('Dropdown tables - Production'!G46= 0, "", 'Dropdown tables - Production'!G46)</f>
        <v/>
      </c>
      <c r="O48" s="31"/>
      <c r="Q48" s="19" t="str">
        <f>IF('Dropdown tables - Production'!G46= 0, "", 'Dropdown tables - Production'!G46)</f>
        <v/>
      </c>
      <c r="R48" s="27" t="str">
        <f>IF(Table11[[#This Row],[Species in production]]= "", "", SUMIFS(Table126[ASC certified net production volume (tonnes)],Table126[Species in production (Latin name) (select)],Feed!Q48))</f>
        <v/>
      </c>
      <c r="S48" s="27" t="str">
        <f>IFERROR((SUMIFS(Table7[Feed use (tonnes)],Table7[Species in production (select)],Table11[[#This Row],[Species in production]])/Table11[[#This Row],[ASC certified net production volume (tonnes)]]), "")</f>
        <v/>
      </c>
      <c r="T48" s="27" t="str" cm="1">
        <f t="array" ref="T48" xml:space="preserve"> IFERROR((((SUMPRODUCT((Q48=Table10[Species in production])*(Table10[Animal protein content (%)]))*R48)/100)/(SUMIFS(Table38[Protein fed per feed type (tonnes)], Table7[Species in production (select)],Table11[[#This Row],[Species in production]]))*100), "")</f>
        <v/>
      </c>
      <c r="U48" s="27" t="str">
        <f xml:space="preserve"> IFERROR((SUMIFS(Table38[FM%/yield*feed use], Table7[Species in production (select)],Table11[[#This Row],[Species in production]])/SUMIFS(Table7[Feed use (tonnes)],Table7[Species in production (select)], Table11[[#This Row],[Species in production]])*Table11[[#This Row],[eFCR]]), "")</f>
        <v/>
      </c>
      <c r="V48" s="27" t="str">
        <f xml:space="preserve"> IFERROR((SUMIFS(Table38[FO%/yield*feed use], Table7[Species in production (select)],Table11[[#This Row],[Species in production]])/SUMIFS(Table7[Feed use (tonnes)], Table7[Species in production (select)], Table11[[#This Row],[Species in production]])*Table11[[#This Row],[eFCR]]), "")</f>
        <v/>
      </c>
      <c r="W48" s="27" t="str">
        <f xml:space="preserve"> IFERROR((SUMIFS(Table38[total EPA and DHA in feed, per type (g)],Table7[Species in production (select)], Table11[[#This Row],[Species in production]])/(SUMIFS(Table7[Feed use (tonnes)],Table7[Species in production (select)], Table11[[#This Row],[Species in production]])*1000)), "")</f>
        <v/>
      </c>
      <c r="X48" s="27" t="str">
        <f>IFERROR((SUMIFS(Table38[EPA and DHA% * feed use],Table7[Species in production (select)], Table11[[#This Row],[Species in production]])/(SUMIFS(Table7[Feed use (tonnes)],Table7[Species in production (select)], Table11[[#This Row],[Species in production]]))), "")</f>
        <v/>
      </c>
    </row>
    <row r="49" spans="3:24" x14ac:dyDescent="0.4">
      <c r="C49" s="31"/>
      <c r="D49" s="235"/>
      <c r="E49" s="236"/>
      <c r="F49" s="236"/>
      <c r="G49" s="236"/>
      <c r="H49" s="236"/>
      <c r="I49" s="31"/>
      <c r="J49" s="236"/>
      <c r="K49" s="30"/>
      <c r="L49" s="237"/>
      <c r="N49" s="19" t="str">
        <f>IF('Dropdown tables - Production'!G47= 0, "", 'Dropdown tables - Production'!G47)</f>
        <v/>
      </c>
      <c r="O49" s="31"/>
      <c r="Q49" s="19" t="str">
        <f>IF('Dropdown tables - Production'!G47= 0, "", 'Dropdown tables - Production'!G47)</f>
        <v/>
      </c>
      <c r="R49" s="27" t="str">
        <f>IF(Table11[[#This Row],[Species in production]]= "", "", SUMIFS(Table126[ASC certified net production volume (tonnes)],Table126[Species in production (Latin name) (select)],Feed!Q49))</f>
        <v/>
      </c>
      <c r="S49" s="27" t="str">
        <f>IFERROR((SUMIFS(Table7[Feed use (tonnes)],Table7[Species in production (select)],Table11[[#This Row],[Species in production]])/Table11[[#This Row],[ASC certified net production volume (tonnes)]]), "")</f>
        <v/>
      </c>
      <c r="T49" s="27" t="str" cm="1">
        <f t="array" ref="T49" xml:space="preserve"> IFERROR((((SUMPRODUCT((Q49=Table10[Species in production])*(Table10[Animal protein content (%)]))*R49)/100)/(SUMIFS(Table38[Protein fed per feed type (tonnes)], Table7[Species in production (select)],Table11[[#This Row],[Species in production]]))*100), "")</f>
        <v/>
      </c>
      <c r="U49" s="27" t="str">
        <f xml:space="preserve"> IFERROR((SUMIFS(Table38[FM%/yield*feed use], Table7[Species in production (select)],Table11[[#This Row],[Species in production]])/SUMIFS(Table7[Feed use (tonnes)],Table7[Species in production (select)], Table11[[#This Row],[Species in production]])*Table11[[#This Row],[eFCR]]), "")</f>
        <v/>
      </c>
      <c r="V49" s="27" t="str">
        <f xml:space="preserve"> IFERROR((SUMIFS(Table38[FO%/yield*feed use], Table7[Species in production (select)],Table11[[#This Row],[Species in production]])/SUMIFS(Table7[Feed use (tonnes)], Table7[Species in production (select)], Table11[[#This Row],[Species in production]])*Table11[[#This Row],[eFCR]]), "")</f>
        <v/>
      </c>
      <c r="W49" s="27" t="str">
        <f xml:space="preserve"> IFERROR((SUMIFS(Table38[total EPA and DHA in feed, per type (g)],Table7[Species in production (select)], Table11[[#This Row],[Species in production]])/(SUMIFS(Table7[Feed use (tonnes)],Table7[Species in production (select)], Table11[[#This Row],[Species in production]])*1000)), "")</f>
        <v/>
      </c>
      <c r="X49" s="27" t="str">
        <f>IFERROR((SUMIFS(Table38[EPA and DHA% * feed use],Table7[Species in production (select)], Table11[[#This Row],[Species in production]])/(SUMIFS(Table7[Feed use (tonnes)],Table7[Species in production (select)], Table11[[#This Row],[Species in production]]))), "")</f>
        <v/>
      </c>
    </row>
    <row r="50" spans="3:24" x14ac:dyDescent="0.4">
      <c r="C50" s="31"/>
      <c r="D50" s="235"/>
      <c r="E50" s="236"/>
      <c r="F50" s="236"/>
      <c r="G50" s="236"/>
      <c r="H50" s="236"/>
      <c r="I50" s="31"/>
      <c r="J50" s="236"/>
      <c r="K50" s="30"/>
      <c r="L50" s="237"/>
      <c r="N50" s="19" t="str">
        <f>IF('Dropdown tables - Production'!G48= 0, "", 'Dropdown tables - Production'!G48)</f>
        <v/>
      </c>
      <c r="O50" s="31"/>
      <c r="Q50" s="19" t="str">
        <f>IF('Dropdown tables - Production'!G48= 0, "", 'Dropdown tables - Production'!G48)</f>
        <v/>
      </c>
      <c r="R50" s="27" t="str">
        <f>IF(Table11[[#This Row],[Species in production]]= "", "", SUMIFS(Table126[ASC certified net production volume (tonnes)],Table126[Species in production (Latin name) (select)],Feed!Q50))</f>
        <v/>
      </c>
      <c r="S50" s="27" t="str">
        <f>IFERROR((SUMIFS(Table7[Feed use (tonnes)],Table7[Species in production (select)],Table11[[#This Row],[Species in production]])/Table11[[#This Row],[ASC certified net production volume (tonnes)]]), "")</f>
        <v/>
      </c>
      <c r="T50" s="27" t="str" cm="1">
        <f t="array" ref="T50" xml:space="preserve"> IFERROR((((SUMPRODUCT((Q50=Table10[Species in production])*(Table10[Animal protein content (%)]))*R50)/100)/(SUMIFS(Table38[Protein fed per feed type (tonnes)], Table7[Species in production (select)],Table11[[#This Row],[Species in production]]))*100), "")</f>
        <v/>
      </c>
      <c r="U50" s="27" t="str">
        <f xml:space="preserve"> IFERROR((SUMIFS(Table38[FM%/yield*feed use], Table7[Species in production (select)],Table11[[#This Row],[Species in production]])/SUMIFS(Table7[Feed use (tonnes)],Table7[Species in production (select)], Table11[[#This Row],[Species in production]])*Table11[[#This Row],[eFCR]]), "")</f>
        <v/>
      </c>
      <c r="V50" s="27" t="str">
        <f xml:space="preserve"> IFERROR((SUMIFS(Table38[FO%/yield*feed use], Table7[Species in production (select)],Table11[[#This Row],[Species in production]])/SUMIFS(Table7[Feed use (tonnes)], Table7[Species in production (select)], Table11[[#This Row],[Species in production]])*Table11[[#This Row],[eFCR]]), "")</f>
        <v/>
      </c>
      <c r="W50" s="27" t="str">
        <f xml:space="preserve"> IFERROR((SUMIFS(Table38[total EPA and DHA in feed, per type (g)],Table7[Species in production (select)], Table11[[#This Row],[Species in production]])/(SUMIFS(Table7[Feed use (tonnes)],Table7[Species in production (select)], Table11[[#This Row],[Species in production]])*1000)), "")</f>
        <v/>
      </c>
      <c r="X50" s="27" t="str">
        <f>IFERROR((SUMIFS(Table38[EPA and DHA% * feed use],Table7[Species in production (select)], Table11[[#This Row],[Species in production]])/(SUMIFS(Table7[Feed use (tonnes)],Table7[Species in production (select)], Table11[[#This Row],[Species in production]]))), "")</f>
        <v/>
      </c>
    </row>
    <row r="51" spans="3:24" x14ac:dyDescent="0.4">
      <c r="C51" s="31"/>
      <c r="D51" s="235"/>
      <c r="E51" s="236"/>
      <c r="F51" s="236"/>
      <c r="G51" s="236"/>
      <c r="H51" s="236"/>
      <c r="I51" s="31"/>
      <c r="J51" s="236"/>
      <c r="K51" s="30"/>
      <c r="L51" s="237"/>
      <c r="N51" s="19" t="str">
        <f>IF('Dropdown tables - Production'!G49= 0, "", 'Dropdown tables - Production'!G49)</f>
        <v/>
      </c>
      <c r="O51" s="31"/>
      <c r="Q51" s="19" t="str">
        <f>IF('Dropdown tables - Production'!G49= 0, "", 'Dropdown tables - Production'!G49)</f>
        <v/>
      </c>
      <c r="R51" s="27" t="str">
        <f>IF(Table11[[#This Row],[Species in production]]= "", "", SUMIFS(Table126[ASC certified net production volume (tonnes)],Table126[Species in production (Latin name) (select)],Feed!Q51))</f>
        <v/>
      </c>
      <c r="S51" s="27" t="str">
        <f>IFERROR((SUMIFS(Table7[Feed use (tonnes)],Table7[Species in production (select)],Table11[[#This Row],[Species in production]])/Table11[[#This Row],[ASC certified net production volume (tonnes)]]), "")</f>
        <v/>
      </c>
      <c r="T51" s="27" t="str" cm="1">
        <f t="array" ref="T51" xml:space="preserve"> IFERROR((((SUMPRODUCT((Q51=Table10[Species in production])*(Table10[Animal protein content (%)]))*R51)/100)/(SUMIFS(Table38[Protein fed per feed type (tonnes)], Table7[Species in production (select)],Table11[[#This Row],[Species in production]]))*100), "")</f>
        <v/>
      </c>
      <c r="U51" s="27" t="str">
        <f xml:space="preserve"> IFERROR((SUMIFS(Table38[FM%/yield*feed use], Table7[Species in production (select)],Table11[[#This Row],[Species in production]])/SUMIFS(Table7[Feed use (tonnes)],Table7[Species in production (select)], Table11[[#This Row],[Species in production]])*Table11[[#This Row],[eFCR]]), "")</f>
        <v/>
      </c>
      <c r="V51" s="27" t="str">
        <f xml:space="preserve"> IFERROR((SUMIFS(Table38[FO%/yield*feed use], Table7[Species in production (select)],Table11[[#This Row],[Species in production]])/SUMIFS(Table7[Feed use (tonnes)], Table7[Species in production (select)], Table11[[#This Row],[Species in production]])*Table11[[#This Row],[eFCR]]), "")</f>
        <v/>
      </c>
      <c r="W51" s="27" t="str">
        <f xml:space="preserve"> IFERROR((SUMIFS(Table38[total EPA and DHA in feed, per type (g)],Table7[Species in production (select)], Table11[[#This Row],[Species in production]])/(SUMIFS(Table7[Feed use (tonnes)],Table7[Species in production (select)], Table11[[#This Row],[Species in production]])*1000)), "")</f>
        <v/>
      </c>
      <c r="X51" s="27" t="str">
        <f>IFERROR((SUMIFS(Table38[EPA and DHA% * feed use],Table7[Species in production (select)], Table11[[#This Row],[Species in production]])/(SUMIFS(Table7[Feed use (tonnes)],Table7[Species in production (select)], Table11[[#This Row],[Species in production]]))), "")</f>
        <v/>
      </c>
    </row>
    <row r="52" spans="3:24" x14ac:dyDescent="0.4">
      <c r="C52" s="31"/>
      <c r="D52" s="235"/>
      <c r="E52" s="236"/>
      <c r="F52" s="236"/>
      <c r="G52" s="236"/>
      <c r="H52" s="236"/>
      <c r="I52" s="31"/>
      <c r="J52" s="236"/>
      <c r="K52" s="30"/>
      <c r="L52" s="237"/>
      <c r="N52" s="19" t="str">
        <f>IF('Dropdown tables - Production'!G50= 0, "", 'Dropdown tables - Production'!G50)</f>
        <v/>
      </c>
      <c r="O52" s="31"/>
      <c r="Q52" s="19" t="str">
        <f>IF('Dropdown tables - Production'!G50= 0, "", 'Dropdown tables - Production'!G50)</f>
        <v/>
      </c>
      <c r="R52" s="27" t="str">
        <f>IF(Table11[[#This Row],[Species in production]]= "", "", SUMIFS(Table126[ASC certified net production volume (tonnes)],Table126[Species in production (Latin name) (select)],Feed!Q52))</f>
        <v/>
      </c>
      <c r="S52" s="27" t="str">
        <f>IFERROR((SUMIFS(Table7[Feed use (tonnes)],Table7[Species in production (select)],Table11[[#This Row],[Species in production]])/Table11[[#This Row],[ASC certified net production volume (tonnes)]]), "")</f>
        <v/>
      </c>
      <c r="T52" s="27" t="str" cm="1">
        <f t="array" ref="T52" xml:space="preserve"> IFERROR((((SUMPRODUCT((Q52=Table10[Species in production])*(Table10[Animal protein content (%)]))*R52)/100)/(SUMIFS(Table38[Protein fed per feed type (tonnes)], Table7[Species in production (select)],Table11[[#This Row],[Species in production]]))*100), "")</f>
        <v/>
      </c>
      <c r="U52" s="27" t="str">
        <f xml:space="preserve"> IFERROR((SUMIFS(Table38[FM%/yield*feed use], Table7[Species in production (select)],Table11[[#This Row],[Species in production]])/SUMIFS(Table7[Feed use (tonnes)],Table7[Species in production (select)], Table11[[#This Row],[Species in production]])*Table11[[#This Row],[eFCR]]), "")</f>
        <v/>
      </c>
      <c r="V52" s="27" t="str">
        <f xml:space="preserve"> IFERROR((SUMIFS(Table38[FO%/yield*feed use], Table7[Species in production (select)],Table11[[#This Row],[Species in production]])/SUMIFS(Table7[Feed use (tonnes)], Table7[Species in production (select)], Table11[[#This Row],[Species in production]])*Table11[[#This Row],[eFCR]]), "")</f>
        <v/>
      </c>
      <c r="W52" s="27" t="str">
        <f xml:space="preserve"> IFERROR((SUMIFS(Table38[total EPA and DHA in feed, per type (g)],Table7[Species in production (select)], Table11[[#This Row],[Species in production]])/(SUMIFS(Table7[Feed use (tonnes)],Table7[Species in production (select)], Table11[[#This Row],[Species in production]])*1000)), "")</f>
        <v/>
      </c>
      <c r="X52" s="27" t="str">
        <f>IFERROR((SUMIFS(Table38[EPA and DHA% * feed use],Table7[Species in production (select)], Table11[[#This Row],[Species in production]])/(SUMIFS(Table7[Feed use (tonnes)],Table7[Species in production (select)], Table11[[#This Row],[Species in production]]))), "")</f>
        <v/>
      </c>
    </row>
    <row r="53" spans="3:24" x14ac:dyDescent="0.4">
      <c r="C53" s="31"/>
      <c r="D53" s="235"/>
      <c r="E53" s="236"/>
      <c r="F53" s="236"/>
      <c r="G53" s="236"/>
      <c r="H53" s="236"/>
      <c r="I53" s="31"/>
      <c r="J53" s="236"/>
      <c r="K53" s="30"/>
      <c r="L53" s="237"/>
      <c r="N53" s="19" t="str">
        <f>IF('Dropdown tables - Production'!G51= 0, "", 'Dropdown tables - Production'!G51)</f>
        <v/>
      </c>
      <c r="O53" s="31"/>
      <c r="Q53" s="19" t="str">
        <f>IF('Dropdown tables - Production'!G51= 0, "", 'Dropdown tables - Production'!G51)</f>
        <v/>
      </c>
      <c r="R53" s="27" t="str">
        <f>IF(Table11[[#This Row],[Species in production]]= "", "", SUMIFS(Table126[ASC certified net production volume (tonnes)],Table126[Species in production (Latin name) (select)],Feed!Q53))</f>
        <v/>
      </c>
      <c r="S53" s="27" t="str">
        <f>IFERROR((SUMIFS(Table7[Feed use (tonnes)],Table7[Species in production (select)],Table11[[#This Row],[Species in production]])/Table11[[#This Row],[ASC certified net production volume (tonnes)]]), "")</f>
        <v/>
      </c>
      <c r="T53" s="27" t="str" cm="1">
        <f t="array" ref="T53" xml:space="preserve"> IFERROR((((SUMPRODUCT((Q53=Table10[Species in production])*(Table10[Animal protein content (%)]))*R53)/100)/(SUMIFS(Table38[Protein fed per feed type (tonnes)], Table7[Species in production (select)],Table11[[#This Row],[Species in production]]))*100), "")</f>
        <v/>
      </c>
      <c r="U53" s="27" t="str">
        <f xml:space="preserve"> IFERROR((SUMIFS(Table38[FM%/yield*feed use], Table7[Species in production (select)],Table11[[#This Row],[Species in production]])/SUMIFS(Table7[Feed use (tonnes)],Table7[Species in production (select)], Table11[[#This Row],[Species in production]])*Table11[[#This Row],[eFCR]]), "")</f>
        <v/>
      </c>
      <c r="V53" s="27" t="str">
        <f xml:space="preserve"> IFERROR((SUMIFS(Table38[FO%/yield*feed use], Table7[Species in production (select)],Table11[[#This Row],[Species in production]])/SUMIFS(Table7[Feed use (tonnes)], Table7[Species in production (select)], Table11[[#This Row],[Species in production]])*Table11[[#This Row],[eFCR]]), "")</f>
        <v/>
      </c>
      <c r="W53" s="27" t="str">
        <f xml:space="preserve"> IFERROR((SUMIFS(Table38[total EPA and DHA in feed, per type (g)],Table7[Species in production (select)], Table11[[#This Row],[Species in production]])/(SUMIFS(Table7[Feed use (tonnes)],Table7[Species in production (select)], Table11[[#This Row],[Species in production]])*1000)), "")</f>
        <v/>
      </c>
      <c r="X53" s="27" t="str">
        <f>IFERROR((SUMIFS(Table38[EPA and DHA% * feed use],Table7[Species in production (select)], Table11[[#This Row],[Species in production]])/(SUMIFS(Table7[Feed use (tonnes)],Table7[Species in production (select)], Table11[[#This Row],[Species in production]]))), "")</f>
        <v/>
      </c>
    </row>
    <row r="54" spans="3:24" x14ac:dyDescent="0.4">
      <c r="C54" s="31"/>
      <c r="D54" s="235"/>
      <c r="E54" s="236"/>
      <c r="F54" s="236"/>
      <c r="G54" s="236"/>
      <c r="H54" s="236"/>
      <c r="I54" s="31"/>
      <c r="J54" s="236"/>
      <c r="K54" s="30"/>
      <c r="L54" s="237"/>
      <c r="N54" s="19" t="str">
        <f>IF('Dropdown tables - Production'!G52= 0, "", 'Dropdown tables - Production'!G52)</f>
        <v/>
      </c>
      <c r="O54" s="31"/>
      <c r="Q54" s="19" t="str">
        <f>IF('Dropdown tables - Production'!G52= 0, "", 'Dropdown tables - Production'!G52)</f>
        <v/>
      </c>
      <c r="R54" s="27" t="str">
        <f>IF(Table11[[#This Row],[Species in production]]= "", "", SUMIFS(Table126[ASC certified net production volume (tonnes)],Table126[Species in production (Latin name) (select)],Feed!Q54))</f>
        <v/>
      </c>
      <c r="S54" s="27" t="str">
        <f>IFERROR((SUMIFS(Table7[Feed use (tonnes)],Table7[Species in production (select)],Table11[[#This Row],[Species in production]])/Table11[[#This Row],[ASC certified net production volume (tonnes)]]), "")</f>
        <v/>
      </c>
      <c r="T54" s="27" t="str" cm="1">
        <f t="array" ref="T54" xml:space="preserve"> IFERROR((((SUMPRODUCT((Q54=Table10[Species in production])*(Table10[Animal protein content (%)]))*R54)/100)/(SUMIFS(Table38[Protein fed per feed type (tonnes)], Table7[Species in production (select)],Table11[[#This Row],[Species in production]]))*100), "")</f>
        <v/>
      </c>
      <c r="U54" s="27" t="str">
        <f xml:space="preserve"> IFERROR((SUMIFS(Table38[FM%/yield*feed use], Table7[Species in production (select)],Table11[[#This Row],[Species in production]])/SUMIFS(Table7[Feed use (tonnes)],Table7[Species in production (select)], Table11[[#This Row],[Species in production]])*Table11[[#This Row],[eFCR]]), "")</f>
        <v/>
      </c>
      <c r="V54" s="27" t="str">
        <f xml:space="preserve"> IFERROR((SUMIFS(Table38[FO%/yield*feed use], Table7[Species in production (select)],Table11[[#This Row],[Species in production]])/SUMIFS(Table7[Feed use (tonnes)], Table7[Species in production (select)], Table11[[#This Row],[Species in production]])*Table11[[#This Row],[eFCR]]), "")</f>
        <v/>
      </c>
      <c r="W54" s="27" t="str">
        <f xml:space="preserve"> IFERROR((SUMIFS(Table38[total EPA and DHA in feed, per type (g)],Table7[Species in production (select)], Table11[[#This Row],[Species in production]])/(SUMIFS(Table7[Feed use (tonnes)],Table7[Species in production (select)], Table11[[#This Row],[Species in production]])*1000)), "")</f>
        <v/>
      </c>
      <c r="X54" s="27" t="str">
        <f>IFERROR((SUMIFS(Table38[EPA and DHA% * feed use],Table7[Species in production (select)], Table11[[#This Row],[Species in production]])/(SUMIFS(Table7[Feed use (tonnes)],Table7[Species in production (select)], Table11[[#This Row],[Species in production]]))), "")</f>
        <v/>
      </c>
    </row>
    <row r="55" spans="3:24" x14ac:dyDescent="0.4">
      <c r="C55" s="31"/>
      <c r="D55" s="235"/>
      <c r="E55" s="236"/>
      <c r="F55" s="236"/>
      <c r="G55" s="236"/>
      <c r="H55" s="236"/>
      <c r="I55" s="31"/>
      <c r="J55" s="236"/>
      <c r="K55" s="30"/>
      <c r="L55" s="237"/>
      <c r="N55" s="19" t="str">
        <f>IF('Dropdown tables - Production'!G53= 0, "", 'Dropdown tables - Production'!G53)</f>
        <v/>
      </c>
      <c r="O55" s="31"/>
      <c r="Q55" s="19" t="str">
        <f>IF('Dropdown tables - Production'!G53= 0, "", 'Dropdown tables - Production'!G53)</f>
        <v/>
      </c>
      <c r="R55" s="27" t="str">
        <f>IF(Table11[[#This Row],[Species in production]]= "", "", SUMIFS(Table126[ASC certified net production volume (tonnes)],Table126[Species in production (Latin name) (select)],Feed!Q55))</f>
        <v/>
      </c>
      <c r="S55" s="27" t="str">
        <f>IFERROR((SUMIFS(Table7[Feed use (tonnes)],Table7[Species in production (select)],Table11[[#This Row],[Species in production]])/Table11[[#This Row],[ASC certified net production volume (tonnes)]]), "")</f>
        <v/>
      </c>
      <c r="T55" s="27" t="str" cm="1">
        <f t="array" ref="T55" xml:space="preserve"> IFERROR((((SUMPRODUCT((Q55=Table10[Species in production])*(Table10[Animal protein content (%)]))*R55)/100)/(SUMIFS(Table38[Protein fed per feed type (tonnes)], Table7[Species in production (select)],Table11[[#This Row],[Species in production]]))*100), "")</f>
        <v/>
      </c>
      <c r="U55" s="27" t="str">
        <f xml:space="preserve"> IFERROR((SUMIFS(Table38[FM%/yield*feed use], Table7[Species in production (select)],Table11[[#This Row],[Species in production]])/SUMIFS(Table7[Feed use (tonnes)],Table7[Species in production (select)], Table11[[#This Row],[Species in production]])*Table11[[#This Row],[eFCR]]), "")</f>
        <v/>
      </c>
      <c r="V55" s="27" t="str">
        <f xml:space="preserve"> IFERROR((SUMIFS(Table38[FO%/yield*feed use], Table7[Species in production (select)],Table11[[#This Row],[Species in production]])/SUMIFS(Table7[Feed use (tonnes)], Table7[Species in production (select)], Table11[[#This Row],[Species in production]])*Table11[[#This Row],[eFCR]]), "")</f>
        <v/>
      </c>
      <c r="W55" s="27" t="str">
        <f xml:space="preserve"> IFERROR((SUMIFS(Table38[total EPA and DHA in feed, per type (g)],Table7[Species in production (select)], Table11[[#This Row],[Species in production]])/(SUMIFS(Table7[Feed use (tonnes)],Table7[Species in production (select)], Table11[[#This Row],[Species in production]])*1000)), "")</f>
        <v/>
      </c>
      <c r="X55" s="27" t="str">
        <f>IFERROR((SUMIFS(Table38[EPA and DHA% * feed use],Table7[Species in production (select)], Table11[[#This Row],[Species in production]])/(SUMIFS(Table7[Feed use (tonnes)],Table7[Species in production (select)], Table11[[#This Row],[Species in production]]))), "")</f>
        <v/>
      </c>
    </row>
    <row r="56" spans="3:24" x14ac:dyDescent="0.4">
      <c r="C56" s="31"/>
      <c r="D56" s="235"/>
      <c r="E56" s="236"/>
      <c r="F56" s="236"/>
      <c r="G56" s="236"/>
      <c r="H56" s="236"/>
      <c r="I56" s="31"/>
      <c r="J56" s="236"/>
      <c r="K56" s="30"/>
      <c r="L56" s="237"/>
      <c r="N56" s="19" t="str">
        <f>IF('Dropdown tables - Production'!G54= 0, "", 'Dropdown tables - Production'!G54)</f>
        <v/>
      </c>
      <c r="O56" s="31"/>
      <c r="Q56" s="19" t="str">
        <f>IF('Dropdown tables - Production'!G54= 0, "", 'Dropdown tables - Production'!G54)</f>
        <v/>
      </c>
      <c r="R56" s="27" t="str">
        <f>IF(Table11[[#This Row],[Species in production]]= "", "", SUMIFS(Table126[ASC certified net production volume (tonnes)],Table126[Species in production (Latin name) (select)],Feed!Q56))</f>
        <v/>
      </c>
      <c r="S56" s="27" t="str">
        <f>IFERROR((SUMIFS(Table7[Feed use (tonnes)],Table7[Species in production (select)],Table11[[#This Row],[Species in production]])/Table11[[#This Row],[ASC certified net production volume (tonnes)]]), "")</f>
        <v/>
      </c>
      <c r="T56" s="27" t="str" cm="1">
        <f t="array" ref="T56" xml:space="preserve"> IFERROR((((SUMPRODUCT((Q56=Table10[Species in production])*(Table10[Animal protein content (%)]))*R56)/100)/(SUMIFS(Table38[Protein fed per feed type (tonnes)], Table7[Species in production (select)],Table11[[#This Row],[Species in production]]))*100), "")</f>
        <v/>
      </c>
      <c r="U56" s="27" t="str">
        <f xml:space="preserve"> IFERROR((SUMIFS(Table38[FM%/yield*feed use], Table7[Species in production (select)],Table11[[#This Row],[Species in production]])/SUMIFS(Table7[Feed use (tonnes)],Table7[Species in production (select)], Table11[[#This Row],[Species in production]])*Table11[[#This Row],[eFCR]]), "")</f>
        <v/>
      </c>
      <c r="V56" s="27" t="str">
        <f xml:space="preserve"> IFERROR((SUMIFS(Table38[FO%/yield*feed use], Table7[Species in production (select)],Table11[[#This Row],[Species in production]])/SUMIFS(Table7[Feed use (tonnes)], Table7[Species in production (select)], Table11[[#This Row],[Species in production]])*Table11[[#This Row],[eFCR]]), "")</f>
        <v/>
      </c>
      <c r="W56" s="27" t="str">
        <f xml:space="preserve"> IFERROR((SUMIFS(Table38[total EPA and DHA in feed, per type (g)],Table7[Species in production (select)], Table11[[#This Row],[Species in production]])/(SUMIFS(Table7[Feed use (tonnes)],Table7[Species in production (select)], Table11[[#This Row],[Species in production]])*1000)), "")</f>
        <v/>
      </c>
      <c r="X56" s="27" t="str">
        <f>IFERROR((SUMIFS(Table38[EPA and DHA% * feed use],Table7[Species in production (select)], Table11[[#This Row],[Species in production]])/(SUMIFS(Table7[Feed use (tonnes)],Table7[Species in production (select)], Table11[[#This Row],[Species in production]]))), "")</f>
        <v/>
      </c>
    </row>
    <row r="57" spans="3:24" x14ac:dyDescent="0.4">
      <c r="C57" s="31"/>
      <c r="D57" s="235"/>
      <c r="E57" s="236"/>
      <c r="F57" s="236"/>
      <c r="G57" s="236"/>
      <c r="H57" s="236"/>
      <c r="I57" s="31"/>
      <c r="J57" s="236"/>
      <c r="K57" s="30"/>
      <c r="L57" s="237"/>
      <c r="N57" s="19" t="str">
        <f>IF('Dropdown tables - Production'!G55= 0, "", 'Dropdown tables - Production'!G55)</f>
        <v/>
      </c>
      <c r="O57" s="31"/>
      <c r="Q57" s="19" t="str">
        <f>IF('Dropdown tables - Production'!G55= 0, "", 'Dropdown tables - Production'!G55)</f>
        <v/>
      </c>
      <c r="R57" s="27" t="str">
        <f>IF(Table11[[#This Row],[Species in production]]= "", "", SUMIFS(Table126[ASC certified net production volume (tonnes)],Table126[Species in production (Latin name) (select)],Feed!Q57))</f>
        <v/>
      </c>
      <c r="S57" s="27" t="str">
        <f>IFERROR((SUMIFS(Table7[Feed use (tonnes)],Table7[Species in production (select)],Table11[[#This Row],[Species in production]])/Table11[[#This Row],[ASC certified net production volume (tonnes)]]), "")</f>
        <v/>
      </c>
      <c r="T57" s="27" t="str" cm="1">
        <f t="array" ref="T57" xml:space="preserve"> IFERROR((((SUMPRODUCT((Q57=Table10[Species in production])*(Table10[Animal protein content (%)]))*R57)/100)/(SUMIFS(Table38[Protein fed per feed type (tonnes)], Table7[Species in production (select)],Table11[[#This Row],[Species in production]]))*100), "")</f>
        <v/>
      </c>
      <c r="U57" s="27" t="str">
        <f xml:space="preserve"> IFERROR((SUMIFS(Table38[FM%/yield*feed use], Table7[Species in production (select)],Table11[[#This Row],[Species in production]])/SUMIFS(Table7[Feed use (tonnes)],Table7[Species in production (select)], Table11[[#This Row],[Species in production]])*Table11[[#This Row],[eFCR]]), "")</f>
        <v/>
      </c>
      <c r="V57" s="27" t="str">
        <f xml:space="preserve"> IFERROR((SUMIFS(Table38[FO%/yield*feed use], Table7[Species in production (select)],Table11[[#This Row],[Species in production]])/SUMIFS(Table7[Feed use (tonnes)], Table7[Species in production (select)], Table11[[#This Row],[Species in production]])*Table11[[#This Row],[eFCR]]), "")</f>
        <v/>
      </c>
      <c r="W57" s="27" t="str">
        <f xml:space="preserve"> IFERROR((SUMIFS(Table38[total EPA and DHA in feed, per type (g)],Table7[Species in production (select)], Table11[[#This Row],[Species in production]])/(SUMIFS(Table7[Feed use (tonnes)],Table7[Species in production (select)], Table11[[#This Row],[Species in production]])*1000)), "")</f>
        <v/>
      </c>
      <c r="X57" s="27" t="str">
        <f>IFERROR((SUMIFS(Table38[EPA and DHA% * feed use],Table7[Species in production (select)], Table11[[#This Row],[Species in production]])/(SUMIFS(Table7[Feed use (tonnes)],Table7[Species in production (select)], Table11[[#This Row],[Species in production]]))), "")</f>
        <v/>
      </c>
    </row>
    <row r="58" spans="3:24" x14ac:dyDescent="0.4">
      <c r="C58" s="31"/>
      <c r="D58" s="235"/>
      <c r="E58" s="236"/>
      <c r="F58" s="236"/>
      <c r="G58" s="236"/>
      <c r="H58" s="236"/>
      <c r="I58" s="31"/>
      <c r="J58" s="236"/>
      <c r="K58" s="30"/>
      <c r="L58" s="237"/>
      <c r="N58" s="19" t="str">
        <f>IF('Dropdown tables - Production'!G56= 0, "", 'Dropdown tables - Production'!G56)</f>
        <v/>
      </c>
      <c r="O58" s="31"/>
      <c r="Q58" s="19" t="str">
        <f>IF('Dropdown tables - Production'!G56= 0, "", 'Dropdown tables - Production'!G56)</f>
        <v/>
      </c>
      <c r="R58" s="27" t="str">
        <f>IF(Table11[[#This Row],[Species in production]]= "", "", SUMIFS(Table126[ASC certified net production volume (tonnes)],Table126[Species in production (Latin name) (select)],Feed!Q58))</f>
        <v/>
      </c>
      <c r="S58" s="27" t="str">
        <f>IFERROR((SUMIFS(Table7[Feed use (tonnes)],Table7[Species in production (select)],Table11[[#This Row],[Species in production]])/Table11[[#This Row],[ASC certified net production volume (tonnes)]]), "")</f>
        <v/>
      </c>
      <c r="T58" s="27" t="str" cm="1">
        <f t="array" ref="T58" xml:space="preserve"> IFERROR((((SUMPRODUCT((Q58=Table10[Species in production])*(Table10[Animal protein content (%)]))*R58)/100)/(SUMIFS(Table38[Protein fed per feed type (tonnes)], Table7[Species in production (select)],Table11[[#This Row],[Species in production]]))*100), "")</f>
        <v/>
      </c>
      <c r="U58" s="27" t="str">
        <f xml:space="preserve"> IFERROR((SUMIFS(Table38[FM%/yield*feed use], Table7[Species in production (select)],Table11[[#This Row],[Species in production]])/SUMIFS(Table7[Feed use (tonnes)],Table7[Species in production (select)], Table11[[#This Row],[Species in production]])*Table11[[#This Row],[eFCR]]), "")</f>
        <v/>
      </c>
      <c r="V58" s="27" t="str">
        <f xml:space="preserve"> IFERROR((SUMIFS(Table38[FO%/yield*feed use], Table7[Species in production (select)],Table11[[#This Row],[Species in production]])/SUMIFS(Table7[Feed use (tonnes)], Table7[Species in production (select)], Table11[[#This Row],[Species in production]])*Table11[[#This Row],[eFCR]]), "")</f>
        <v/>
      </c>
      <c r="W58" s="27" t="str">
        <f xml:space="preserve"> IFERROR((SUMIFS(Table38[total EPA and DHA in feed, per type (g)],Table7[Species in production (select)], Table11[[#This Row],[Species in production]])/(SUMIFS(Table7[Feed use (tonnes)],Table7[Species in production (select)], Table11[[#This Row],[Species in production]])*1000)), "")</f>
        <v/>
      </c>
      <c r="X58" s="27" t="str">
        <f>IFERROR((SUMIFS(Table38[EPA and DHA% * feed use],Table7[Species in production (select)], Table11[[#This Row],[Species in production]])/(SUMIFS(Table7[Feed use (tonnes)],Table7[Species in production (select)], Table11[[#This Row],[Species in production]]))), "")</f>
        <v/>
      </c>
    </row>
    <row r="59" spans="3:24" x14ac:dyDescent="0.4">
      <c r="C59" s="31"/>
      <c r="D59" s="235"/>
      <c r="E59" s="236"/>
      <c r="F59" s="236"/>
      <c r="G59" s="236"/>
      <c r="H59" s="236"/>
      <c r="I59" s="31"/>
      <c r="J59" s="236"/>
      <c r="K59" s="30"/>
      <c r="L59" s="237"/>
      <c r="N59" s="19" t="str">
        <f>IF('Dropdown tables - Production'!G57= 0, "", 'Dropdown tables - Production'!G57)</f>
        <v/>
      </c>
      <c r="O59" s="31"/>
      <c r="Q59" s="19" t="str">
        <f>IF('Dropdown tables - Production'!G57= 0, "", 'Dropdown tables - Production'!G57)</f>
        <v/>
      </c>
      <c r="R59" s="27" t="str">
        <f>IF(Table11[[#This Row],[Species in production]]= "", "", SUMIFS(Table126[ASC certified net production volume (tonnes)],Table126[Species in production (Latin name) (select)],Feed!Q59))</f>
        <v/>
      </c>
      <c r="S59" s="27" t="str">
        <f>IFERROR((SUMIFS(Table7[Feed use (tonnes)],Table7[Species in production (select)],Table11[[#This Row],[Species in production]])/Table11[[#This Row],[ASC certified net production volume (tonnes)]]), "")</f>
        <v/>
      </c>
      <c r="T59" s="27" t="str" cm="1">
        <f t="array" ref="T59" xml:space="preserve"> IFERROR((((SUMPRODUCT((Q59=Table10[Species in production])*(Table10[Animal protein content (%)]))*R59)/100)/(SUMIFS(Table38[Protein fed per feed type (tonnes)], Table7[Species in production (select)],Table11[[#This Row],[Species in production]]))*100), "")</f>
        <v/>
      </c>
      <c r="U59" s="27" t="str">
        <f xml:space="preserve"> IFERROR((SUMIFS(Table38[FM%/yield*feed use], Table7[Species in production (select)],Table11[[#This Row],[Species in production]])/SUMIFS(Table7[Feed use (tonnes)],Table7[Species in production (select)], Table11[[#This Row],[Species in production]])*Table11[[#This Row],[eFCR]]), "")</f>
        <v/>
      </c>
      <c r="V59" s="27" t="str">
        <f xml:space="preserve"> IFERROR((SUMIFS(Table38[FO%/yield*feed use], Table7[Species in production (select)],Table11[[#This Row],[Species in production]])/SUMIFS(Table7[Feed use (tonnes)], Table7[Species in production (select)], Table11[[#This Row],[Species in production]])*Table11[[#This Row],[eFCR]]), "")</f>
        <v/>
      </c>
      <c r="W59" s="27" t="str">
        <f xml:space="preserve"> IFERROR((SUMIFS(Table38[total EPA and DHA in feed, per type (g)],Table7[Species in production (select)], Table11[[#This Row],[Species in production]])/(SUMIFS(Table7[Feed use (tonnes)],Table7[Species in production (select)], Table11[[#This Row],[Species in production]])*1000)), "")</f>
        <v/>
      </c>
      <c r="X59" s="27" t="str">
        <f>IFERROR((SUMIFS(Table38[EPA and DHA% * feed use],Table7[Species in production (select)], Table11[[#This Row],[Species in production]])/(SUMIFS(Table7[Feed use (tonnes)],Table7[Species in production (select)], Table11[[#This Row],[Species in production]]))), "")</f>
        <v/>
      </c>
    </row>
    <row r="60" spans="3:24" x14ac:dyDescent="0.4">
      <c r="C60" s="31"/>
      <c r="D60" s="235"/>
      <c r="E60" s="236"/>
      <c r="F60" s="236"/>
      <c r="G60" s="236"/>
      <c r="H60" s="236"/>
      <c r="I60" s="31"/>
      <c r="J60" s="236"/>
      <c r="K60" s="30"/>
      <c r="L60" s="237"/>
      <c r="N60" s="19" t="str">
        <f>IF('Dropdown tables - Production'!G58= 0, "", 'Dropdown tables - Production'!G58)</f>
        <v/>
      </c>
      <c r="O60" s="31"/>
      <c r="Q60" s="19" t="str">
        <f>IF('Dropdown tables - Production'!G58= 0, "", 'Dropdown tables - Production'!G58)</f>
        <v/>
      </c>
      <c r="R60" s="27" t="str">
        <f>IF(Table11[[#This Row],[Species in production]]= "", "", SUMIFS(Table126[ASC certified net production volume (tonnes)],Table126[Species in production (Latin name) (select)],Feed!Q60))</f>
        <v/>
      </c>
      <c r="S60" s="27" t="str">
        <f>IFERROR((SUMIFS(Table7[Feed use (tonnes)],Table7[Species in production (select)],Table11[[#This Row],[Species in production]])/Table11[[#This Row],[ASC certified net production volume (tonnes)]]), "")</f>
        <v/>
      </c>
      <c r="T60" s="27" t="str" cm="1">
        <f t="array" ref="T60" xml:space="preserve"> IFERROR((((SUMPRODUCT((Q60=Table10[Species in production])*(Table10[Animal protein content (%)]))*R60)/100)/(SUMIFS(Table38[Protein fed per feed type (tonnes)], Table7[Species in production (select)],Table11[[#This Row],[Species in production]]))*100), "")</f>
        <v/>
      </c>
      <c r="U60" s="27" t="str">
        <f xml:space="preserve"> IFERROR((SUMIFS(Table38[FM%/yield*feed use], Table7[Species in production (select)],Table11[[#This Row],[Species in production]])/SUMIFS(Table7[Feed use (tonnes)],Table7[Species in production (select)], Table11[[#This Row],[Species in production]])*Table11[[#This Row],[eFCR]]), "")</f>
        <v/>
      </c>
      <c r="V60" s="27" t="str">
        <f xml:space="preserve"> IFERROR((SUMIFS(Table38[FO%/yield*feed use], Table7[Species in production (select)],Table11[[#This Row],[Species in production]])/SUMIFS(Table7[Feed use (tonnes)], Table7[Species in production (select)], Table11[[#This Row],[Species in production]])*Table11[[#This Row],[eFCR]]), "")</f>
        <v/>
      </c>
      <c r="W60" s="27" t="str">
        <f xml:space="preserve"> IFERROR((SUMIFS(Table38[total EPA and DHA in feed, per type (g)],Table7[Species in production (select)], Table11[[#This Row],[Species in production]])/(SUMIFS(Table7[Feed use (tonnes)],Table7[Species in production (select)], Table11[[#This Row],[Species in production]])*1000)), "")</f>
        <v/>
      </c>
      <c r="X60" s="27" t="str">
        <f>IFERROR((SUMIFS(Table38[EPA and DHA% * feed use],Table7[Species in production (select)], Table11[[#This Row],[Species in production]])/(SUMIFS(Table7[Feed use (tonnes)],Table7[Species in production (select)], Table11[[#This Row],[Species in production]]))), "")</f>
        <v/>
      </c>
    </row>
    <row r="61" spans="3:24" x14ac:dyDescent="0.4">
      <c r="C61" s="31"/>
      <c r="D61" s="235"/>
      <c r="E61" s="236"/>
      <c r="F61" s="236"/>
      <c r="G61" s="236"/>
      <c r="H61" s="236"/>
      <c r="I61" s="31"/>
      <c r="J61" s="236"/>
      <c r="K61" s="30"/>
      <c r="L61" s="237"/>
      <c r="N61" s="19" t="str">
        <f>IF('Dropdown tables - Production'!G59= 0, "", 'Dropdown tables - Production'!G59)</f>
        <v/>
      </c>
      <c r="O61" s="31"/>
      <c r="Q61" s="19" t="str">
        <f>IF('Dropdown tables - Production'!G59= 0, "", 'Dropdown tables - Production'!G59)</f>
        <v/>
      </c>
      <c r="R61" s="27" t="str">
        <f>IF(Table11[[#This Row],[Species in production]]= "", "", SUMIFS(Table126[ASC certified net production volume (tonnes)],Table126[Species in production (Latin name) (select)],Feed!Q61))</f>
        <v/>
      </c>
      <c r="S61" s="27" t="str">
        <f>IFERROR((SUMIFS(Table7[Feed use (tonnes)],Table7[Species in production (select)],Table11[[#This Row],[Species in production]])/Table11[[#This Row],[ASC certified net production volume (tonnes)]]), "")</f>
        <v/>
      </c>
      <c r="T61" s="27" t="str" cm="1">
        <f t="array" ref="T61" xml:space="preserve"> IFERROR((((SUMPRODUCT((Q61=Table10[Species in production])*(Table10[Animal protein content (%)]))*R61)/100)/(SUMIFS(Table38[Protein fed per feed type (tonnes)], Table7[Species in production (select)],Table11[[#This Row],[Species in production]]))*100), "")</f>
        <v/>
      </c>
      <c r="U61" s="27" t="str">
        <f xml:space="preserve"> IFERROR((SUMIFS(Table38[FM%/yield*feed use], Table7[Species in production (select)],Table11[[#This Row],[Species in production]])/SUMIFS(Table7[Feed use (tonnes)],Table7[Species in production (select)], Table11[[#This Row],[Species in production]])*Table11[[#This Row],[eFCR]]), "")</f>
        <v/>
      </c>
      <c r="V61" s="27" t="str">
        <f xml:space="preserve"> IFERROR((SUMIFS(Table38[FO%/yield*feed use], Table7[Species in production (select)],Table11[[#This Row],[Species in production]])/SUMIFS(Table7[Feed use (tonnes)], Table7[Species in production (select)], Table11[[#This Row],[Species in production]])*Table11[[#This Row],[eFCR]]), "")</f>
        <v/>
      </c>
      <c r="W61" s="27" t="str">
        <f xml:space="preserve"> IFERROR((SUMIFS(Table38[total EPA and DHA in feed, per type (g)],Table7[Species in production (select)], Table11[[#This Row],[Species in production]])/(SUMIFS(Table7[Feed use (tonnes)],Table7[Species in production (select)], Table11[[#This Row],[Species in production]])*1000)), "")</f>
        <v/>
      </c>
      <c r="X61" s="27" t="str">
        <f>IFERROR((SUMIFS(Table38[EPA and DHA% * feed use],Table7[Species in production (select)], Table11[[#This Row],[Species in production]])/(SUMIFS(Table7[Feed use (tonnes)],Table7[Species in production (select)], Table11[[#This Row],[Species in production]]))), "")</f>
        <v/>
      </c>
    </row>
    <row r="62" spans="3:24" x14ac:dyDescent="0.4">
      <c r="C62" s="31"/>
      <c r="D62" s="235"/>
      <c r="E62" s="236"/>
      <c r="F62" s="236"/>
      <c r="G62" s="236"/>
      <c r="H62" s="236"/>
      <c r="I62" s="31"/>
      <c r="J62" s="236"/>
      <c r="K62" s="30"/>
      <c r="L62" s="237"/>
      <c r="N62" s="19" t="str">
        <f>IF('Dropdown tables - Production'!G60= 0, "", 'Dropdown tables - Production'!G60)</f>
        <v/>
      </c>
      <c r="O62" s="31"/>
      <c r="Q62" s="19" t="str">
        <f>IF('Dropdown tables - Production'!G60= 0, "", 'Dropdown tables - Production'!G60)</f>
        <v/>
      </c>
      <c r="R62" s="27" t="str">
        <f>IF(Table11[[#This Row],[Species in production]]= "", "", SUMIFS(Table126[ASC certified net production volume (tonnes)],Table126[Species in production (Latin name) (select)],Feed!Q62))</f>
        <v/>
      </c>
      <c r="S62" s="27" t="str">
        <f>IFERROR((SUMIFS(Table7[Feed use (tonnes)],Table7[Species in production (select)],Table11[[#This Row],[Species in production]])/Table11[[#This Row],[ASC certified net production volume (tonnes)]]), "")</f>
        <v/>
      </c>
      <c r="T62" s="27" t="str" cm="1">
        <f t="array" ref="T62" xml:space="preserve"> IFERROR((((SUMPRODUCT((Q62=Table10[Species in production])*(Table10[Animal protein content (%)]))*R62)/100)/(SUMIFS(Table38[Protein fed per feed type (tonnes)], Table7[Species in production (select)],Table11[[#This Row],[Species in production]]))*100), "")</f>
        <v/>
      </c>
      <c r="U62" s="27" t="str">
        <f xml:space="preserve"> IFERROR((SUMIFS(Table38[FM%/yield*feed use], Table7[Species in production (select)],Table11[[#This Row],[Species in production]])/SUMIFS(Table7[Feed use (tonnes)],Table7[Species in production (select)], Table11[[#This Row],[Species in production]])*Table11[[#This Row],[eFCR]]), "")</f>
        <v/>
      </c>
      <c r="V62" s="27" t="str">
        <f xml:space="preserve"> IFERROR((SUMIFS(Table38[FO%/yield*feed use], Table7[Species in production (select)],Table11[[#This Row],[Species in production]])/SUMIFS(Table7[Feed use (tonnes)], Table7[Species in production (select)], Table11[[#This Row],[Species in production]])*Table11[[#This Row],[eFCR]]), "")</f>
        <v/>
      </c>
      <c r="W62" s="27" t="str">
        <f xml:space="preserve"> IFERROR((SUMIFS(Table38[total EPA and DHA in feed, per type (g)],Table7[Species in production (select)], Table11[[#This Row],[Species in production]])/(SUMIFS(Table7[Feed use (tonnes)],Table7[Species in production (select)], Table11[[#This Row],[Species in production]])*1000)), "")</f>
        <v/>
      </c>
      <c r="X62" s="27" t="str">
        <f>IFERROR((SUMIFS(Table38[EPA and DHA% * feed use],Table7[Species in production (select)], Table11[[#This Row],[Species in production]])/(SUMIFS(Table7[Feed use (tonnes)],Table7[Species in production (select)], Table11[[#This Row],[Species in production]]))), "")</f>
        <v/>
      </c>
    </row>
    <row r="63" spans="3:24" x14ac:dyDescent="0.4">
      <c r="C63" s="31"/>
      <c r="D63" s="235"/>
      <c r="E63" s="236"/>
      <c r="F63" s="236"/>
      <c r="G63" s="236"/>
      <c r="H63" s="236"/>
      <c r="I63" s="31"/>
      <c r="J63" s="236"/>
      <c r="K63" s="30"/>
      <c r="L63" s="237"/>
      <c r="N63" s="19" t="str">
        <f>IF('Dropdown tables - Production'!G61= 0, "", 'Dropdown tables - Production'!G61)</f>
        <v/>
      </c>
      <c r="O63" s="31"/>
      <c r="Q63" s="19" t="str">
        <f>IF('Dropdown tables - Production'!G61= 0, "", 'Dropdown tables - Production'!G61)</f>
        <v/>
      </c>
      <c r="R63" s="27" t="str">
        <f>IF(Table11[[#This Row],[Species in production]]= "", "", SUMIFS(Table126[ASC certified net production volume (tonnes)],Table126[Species in production (Latin name) (select)],Feed!Q63))</f>
        <v/>
      </c>
      <c r="S63" s="27" t="str">
        <f>IFERROR((SUMIFS(Table7[Feed use (tonnes)],Table7[Species in production (select)],Table11[[#This Row],[Species in production]])/Table11[[#This Row],[ASC certified net production volume (tonnes)]]), "")</f>
        <v/>
      </c>
      <c r="T63" s="27" t="str" cm="1">
        <f t="array" ref="T63" xml:space="preserve"> IFERROR((((SUMPRODUCT((Q63=Table10[Species in production])*(Table10[Animal protein content (%)]))*R63)/100)/(SUMIFS(Table38[Protein fed per feed type (tonnes)], Table7[Species in production (select)],Table11[[#This Row],[Species in production]]))*100), "")</f>
        <v/>
      </c>
      <c r="U63" s="27" t="str">
        <f xml:space="preserve"> IFERROR((SUMIFS(Table38[FM%/yield*feed use], Table7[Species in production (select)],Table11[[#This Row],[Species in production]])/SUMIFS(Table7[Feed use (tonnes)],Table7[Species in production (select)], Table11[[#This Row],[Species in production]])*Table11[[#This Row],[eFCR]]), "")</f>
        <v/>
      </c>
      <c r="V63" s="27" t="str">
        <f xml:space="preserve"> IFERROR((SUMIFS(Table38[FO%/yield*feed use], Table7[Species in production (select)],Table11[[#This Row],[Species in production]])/SUMIFS(Table7[Feed use (tonnes)], Table7[Species in production (select)], Table11[[#This Row],[Species in production]])*Table11[[#This Row],[eFCR]]), "")</f>
        <v/>
      </c>
      <c r="W63" s="27" t="str">
        <f xml:space="preserve"> IFERROR((SUMIFS(Table38[total EPA and DHA in feed, per type (g)],Table7[Species in production (select)], Table11[[#This Row],[Species in production]])/(SUMIFS(Table7[Feed use (tonnes)],Table7[Species in production (select)], Table11[[#This Row],[Species in production]])*1000)), "")</f>
        <v/>
      </c>
      <c r="X63" s="27" t="str">
        <f>IFERROR((SUMIFS(Table38[EPA and DHA% * feed use],Table7[Species in production (select)], Table11[[#This Row],[Species in production]])/(SUMIFS(Table7[Feed use (tonnes)],Table7[Species in production (select)], Table11[[#This Row],[Species in production]]))), "")</f>
        <v/>
      </c>
    </row>
    <row r="64" spans="3:24" x14ac:dyDescent="0.4">
      <c r="C64" s="31"/>
      <c r="D64" s="235"/>
      <c r="E64" s="236"/>
      <c r="F64" s="236"/>
      <c r="G64" s="236"/>
      <c r="H64" s="236"/>
      <c r="I64" s="31"/>
      <c r="J64" s="236"/>
      <c r="K64" s="30"/>
      <c r="L64" s="237"/>
      <c r="N64" s="19" t="str">
        <f>IF('Dropdown tables - Production'!G62= 0, "", 'Dropdown tables - Production'!G62)</f>
        <v/>
      </c>
      <c r="O64" s="31"/>
      <c r="Q64" s="19" t="str">
        <f>IF('Dropdown tables - Production'!G62= 0, "", 'Dropdown tables - Production'!G62)</f>
        <v/>
      </c>
      <c r="R64" s="27" t="str">
        <f>IF(Table11[[#This Row],[Species in production]]= "", "", SUMIFS(Table126[ASC certified net production volume (tonnes)],Table126[Species in production (Latin name) (select)],Feed!Q64))</f>
        <v/>
      </c>
      <c r="S64" s="27" t="str">
        <f>IFERROR((SUMIFS(Table7[Feed use (tonnes)],Table7[Species in production (select)],Table11[[#This Row],[Species in production]])/Table11[[#This Row],[ASC certified net production volume (tonnes)]]), "")</f>
        <v/>
      </c>
      <c r="T64" s="27" t="str" cm="1">
        <f t="array" ref="T64" xml:space="preserve"> IFERROR((((SUMPRODUCT((Q64=Table10[Species in production])*(Table10[Animal protein content (%)]))*R64)/100)/(SUMIFS(Table38[Protein fed per feed type (tonnes)], Table7[Species in production (select)],Table11[[#This Row],[Species in production]]))*100), "")</f>
        <v/>
      </c>
      <c r="U64" s="27" t="str">
        <f xml:space="preserve"> IFERROR((SUMIFS(Table38[FM%/yield*feed use], Table7[Species in production (select)],Table11[[#This Row],[Species in production]])/SUMIFS(Table7[Feed use (tonnes)],Table7[Species in production (select)], Table11[[#This Row],[Species in production]])*Table11[[#This Row],[eFCR]]), "")</f>
        <v/>
      </c>
      <c r="V64" s="27" t="str">
        <f xml:space="preserve"> IFERROR((SUMIFS(Table38[FO%/yield*feed use], Table7[Species in production (select)],Table11[[#This Row],[Species in production]])/SUMIFS(Table7[Feed use (tonnes)], Table7[Species in production (select)], Table11[[#This Row],[Species in production]])*Table11[[#This Row],[eFCR]]), "")</f>
        <v/>
      </c>
      <c r="W64" s="27" t="str">
        <f xml:space="preserve"> IFERROR((SUMIFS(Table38[total EPA and DHA in feed, per type (g)],Table7[Species in production (select)], Table11[[#This Row],[Species in production]])/(SUMIFS(Table7[Feed use (tonnes)],Table7[Species in production (select)], Table11[[#This Row],[Species in production]])*1000)), "")</f>
        <v/>
      </c>
      <c r="X64" s="27" t="str">
        <f>IFERROR((SUMIFS(Table38[EPA and DHA% * feed use],Table7[Species in production (select)], Table11[[#This Row],[Species in production]])/(SUMIFS(Table7[Feed use (tonnes)],Table7[Species in production (select)], Table11[[#This Row],[Species in production]]))), "")</f>
        <v/>
      </c>
    </row>
    <row r="65" spans="3:29" x14ac:dyDescent="0.4">
      <c r="C65" s="31"/>
      <c r="D65" s="235"/>
      <c r="E65" s="236"/>
      <c r="F65" s="236"/>
      <c r="G65" s="236"/>
      <c r="H65" s="236"/>
      <c r="I65" s="31"/>
      <c r="J65" s="236"/>
      <c r="K65" s="30"/>
      <c r="L65" s="237"/>
      <c r="N65" s="19" t="str">
        <f>IF('Dropdown tables - Production'!G63= 0, "", 'Dropdown tables - Production'!G63)</f>
        <v/>
      </c>
      <c r="O65" s="31"/>
      <c r="Q65" s="19" t="str">
        <f>IF('Dropdown tables - Production'!G63= 0, "", 'Dropdown tables - Production'!G63)</f>
        <v/>
      </c>
      <c r="R65" s="27" t="str">
        <f>IF(Table11[[#This Row],[Species in production]]= "", "", SUMIFS(Table126[ASC certified net production volume (tonnes)],Table126[Species in production (Latin name) (select)],Feed!Q65))</f>
        <v/>
      </c>
      <c r="S65" s="27" t="str">
        <f>IFERROR((SUMIFS(Table7[Feed use (tonnes)],Table7[Species in production (select)],Table11[[#This Row],[Species in production]])/Table11[[#This Row],[ASC certified net production volume (tonnes)]]), "")</f>
        <v/>
      </c>
      <c r="T65" s="27" t="str" cm="1">
        <f t="array" ref="T65" xml:space="preserve"> IFERROR((((SUMPRODUCT((Q65=Table10[Species in production])*(Table10[Animal protein content (%)]))*R65)/100)/(SUMIFS(Table38[Protein fed per feed type (tonnes)], Table7[Species in production (select)],Table11[[#This Row],[Species in production]]))*100), "")</f>
        <v/>
      </c>
      <c r="U65" s="27" t="str">
        <f xml:space="preserve"> IFERROR((SUMIFS(Table38[FM%/yield*feed use], Table7[Species in production (select)],Table11[[#This Row],[Species in production]])/SUMIFS(Table7[Feed use (tonnes)],Table7[Species in production (select)], Table11[[#This Row],[Species in production]])*Table11[[#This Row],[eFCR]]), "")</f>
        <v/>
      </c>
      <c r="V65" s="27" t="str">
        <f xml:space="preserve"> IFERROR((SUMIFS(Table38[FO%/yield*feed use], Table7[Species in production (select)],Table11[[#This Row],[Species in production]])/SUMIFS(Table7[Feed use (tonnes)], Table7[Species in production (select)], Table11[[#This Row],[Species in production]])*Table11[[#This Row],[eFCR]]), "")</f>
        <v/>
      </c>
      <c r="W65" s="27" t="str">
        <f xml:space="preserve"> IFERROR((SUMIFS(Table38[total EPA and DHA in feed, per type (g)],Table7[Species in production (select)], Table11[[#This Row],[Species in production]])/(SUMIFS(Table7[Feed use (tonnes)],Table7[Species in production (select)], Table11[[#This Row],[Species in production]])*1000)), "")</f>
        <v/>
      </c>
      <c r="X65" s="27" t="str">
        <f>IFERROR((SUMIFS(Table38[EPA and DHA% * feed use],Table7[Species in production (select)], Table11[[#This Row],[Species in production]])/(SUMIFS(Table7[Feed use (tonnes)],Table7[Species in production (select)], Table11[[#This Row],[Species in production]]))), "")</f>
        <v/>
      </c>
    </row>
    <row r="66" spans="3:29" x14ac:dyDescent="0.4">
      <c r="C66" s="31"/>
      <c r="D66" s="235"/>
      <c r="E66" s="236"/>
      <c r="F66" s="236"/>
      <c r="G66" s="236"/>
      <c r="H66" s="236"/>
      <c r="I66" s="31"/>
      <c r="J66" s="236"/>
      <c r="K66" s="30"/>
      <c r="L66" s="237"/>
      <c r="N66" s="19" t="str">
        <f>IF('Dropdown tables - Production'!G64= 0, "", 'Dropdown tables - Production'!G64)</f>
        <v/>
      </c>
      <c r="O66" s="31"/>
      <c r="Q66" s="19" t="str">
        <f>IF('Dropdown tables - Production'!G64= 0, "", 'Dropdown tables - Production'!G64)</f>
        <v/>
      </c>
      <c r="R66" s="27" t="str">
        <f>IF(Table11[[#This Row],[Species in production]]= "", "", SUMIFS(Table126[ASC certified net production volume (tonnes)],Table126[Species in production (Latin name) (select)],Feed!Q66))</f>
        <v/>
      </c>
      <c r="S66" s="27" t="str">
        <f>IFERROR((SUMIFS(Table7[Feed use (tonnes)],Table7[Species in production (select)],Table11[[#This Row],[Species in production]])/Table11[[#This Row],[ASC certified net production volume (tonnes)]]), "")</f>
        <v/>
      </c>
      <c r="T66" s="27" t="str" cm="1">
        <f t="array" ref="T66" xml:space="preserve"> IFERROR((((SUMPRODUCT((Q66=Table10[Species in production])*(Table10[Animal protein content (%)]))*R66)/100)/(SUMIFS(Table38[Protein fed per feed type (tonnes)], Table7[Species in production (select)],Table11[[#This Row],[Species in production]]))*100), "")</f>
        <v/>
      </c>
      <c r="U66" s="27" t="str">
        <f xml:space="preserve"> IFERROR((SUMIFS(Table38[FM%/yield*feed use], Table7[Species in production (select)],Table11[[#This Row],[Species in production]])/SUMIFS(Table7[Feed use (tonnes)],Table7[Species in production (select)], Table11[[#This Row],[Species in production]])*Table11[[#This Row],[eFCR]]), "")</f>
        <v/>
      </c>
      <c r="V66" s="27" t="str">
        <f xml:space="preserve"> IFERROR((SUMIFS(Table38[FO%/yield*feed use], Table7[Species in production (select)],Table11[[#This Row],[Species in production]])/SUMIFS(Table7[Feed use (tonnes)], Table7[Species in production (select)], Table11[[#This Row],[Species in production]])*Table11[[#This Row],[eFCR]]), "")</f>
        <v/>
      </c>
      <c r="W66" s="27" t="str">
        <f xml:space="preserve"> IFERROR((SUMIFS(Table38[total EPA and DHA in feed, per type (g)],Table7[Species in production (select)], Table11[[#This Row],[Species in production]])/(SUMIFS(Table7[Feed use (tonnes)],Table7[Species in production (select)], Table11[[#This Row],[Species in production]])*1000)), "")</f>
        <v/>
      </c>
      <c r="X66" s="27" t="str">
        <f>IFERROR((SUMIFS(Table38[EPA and DHA% * feed use],Table7[Species in production (select)], Table11[[#This Row],[Species in production]])/(SUMIFS(Table7[Feed use (tonnes)],Table7[Species in production (select)], Table11[[#This Row],[Species in production]]))), "")</f>
        <v/>
      </c>
    </row>
    <row r="67" spans="3:29" x14ac:dyDescent="0.4">
      <c r="C67" s="31"/>
      <c r="D67" s="235"/>
      <c r="E67" s="236"/>
      <c r="F67" s="236"/>
      <c r="G67" s="236"/>
      <c r="H67" s="236"/>
      <c r="I67" s="31"/>
      <c r="J67" s="236"/>
      <c r="K67" s="30"/>
      <c r="L67" s="237"/>
      <c r="N67" s="19" t="str">
        <f>IF('Dropdown tables - Production'!G65= 0, "", 'Dropdown tables - Production'!G65)</f>
        <v/>
      </c>
      <c r="O67" s="31"/>
      <c r="Q67" s="19" t="str">
        <f>IF('Dropdown tables - Production'!G65= 0, "", 'Dropdown tables - Production'!G65)</f>
        <v/>
      </c>
      <c r="R67" s="27" t="str">
        <f>IF(Table11[[#This Row],[Species in production]]= "", "", SUMIFS(Table126[ASC certified net production volume (tonnes)],Table126[Species in production (Latin name) (select)],Feed!Q67))</f>
        <v/>
      </c>
      <c r="S67" s="27" t="str">
        <f>IFERROR((SUMIFS(Table7[Feed use (tonnes)],Table7[Species in production (select)],Table11[[#This Row],[Species in production]])/Table11[[#This Row],[ASC certified net production volume (tonnes)]]), "")</f>
        <v/>
      </c>
      <c r="T67" s="27" t="str" cm="1">
        <f t="array" ref="T67" xml:space="preserve"> IFERROR((((SUMPRODUCT((Q67=Table10[Species in production])*(Table10[Animal protein content (%)]))*R67)/100)/(SUMIFS(Table38[Protein fed per feed type (tonnes)], Table7[Species in production (select)],Table11[[#This Row],[Species in production]]))*100), "")</f>
        <v/>
      </c>
      <c r="U67" s="27" t="str">
        <f xml:space="preserve"> IFERROR((SUMIFS(Table38[FM%/yield*feed use], Table7[Species in production (select)],Table11[[#This Row],[Species in production]])/SUMIFS(Table7[Feed use (tonnes)],Table7[Species in production (select)], Table11[[#This Row],[Species in production]])*Table11[[#This Row],[eFCR]]), "")</f>
        <v/>
      </c>
      <c r="V67" s="27" t="str">
        <f xml:space="preserve"> IFERROR((SUMIFS(Table38[FO%/yield*feed use], Table7[Species in production (select)],Table11[[#This Row],[Species in production]])/SUMIFS(Table7[Feed use (tonnes)], Table7[Species in production (select)], Table11[[#This Row],[Species in production]])*Table11[[#This Row],[eFCR]]), "")</f>
        <v/>
      </c>
      <c r="W67" s="27" t="str">
        <f xml:space="preserve"> IFERROR((SUMIFS(Table38[total EPA and DHA in feed, per type (g)],Table7[Species in production (select)], Table11[[#This Row],[Species in production]])/(SUMIFS(Table7[Feed use (tonnes)],Table7[Species in production (select)], Table11[[#This Row],[Species in production]])*1000)), "")</f>
        <v/>
      </c>
      <c r="X67" s="27" t="str">
        <f>IFERROR((SUMIFS(Table38[EPA and DHA% * feed use],Table7[Species in production (select)], Table11[[#This Row],[Species in production]])/(SUMIFS(Table7[Feed use (tonnes)],Table7[Species in production (select)], Table11[[#This Row],[Species in production]]))), "")</f>
        <v/>
      </c>
    </row>
    <row r="68" spans="3:29" x14ac:dyDescent="0.4">
      <c r="C68" s="31"/>
      <c r="D68" s="235"/>
      <c r="E68" s="236"/>
      <c r="F68" s="236"/>
      <c r="G68" s="236"/>
      <c r="H68" s="236"/>
      <c r="I68" s="31"/>
      <c r="J68" s="236"/>
      <c r="K68" s="30"/>
      <c r="L68" s="237"/>
      <c r="N68" s="19" t="str">
        <f>IF('Dropdown tables - Production'!G66= 0, "", 'Dropdown tables - Production'!G66)</f>
        <v/>
      </c>
      <c r="O68" s="31"/>
      <c r="Q68" s="19" t="str">
        <f>IF('Dropdown tables - Production'!G66= 0, "", 'Dropdown tables - Production'!G66)</f>
        <v/>
      </c>
      <c r="R68" s="27" t="str">
        <f>IF(Table11[[#This Row],[Species in production]]= "", "", SUMIFS(Table126[ASC certified net production volume (tonnes)],Table126[Species in production (Latin name) (select)],Feed!Q68))</f>
        <v/>
      </c>
      <c r="S68" s="27" t="str">
        <f>IFERROR((SUMIFS(Table7[Feed use (tonnes)],Table7[Species in production (select)],Table11[[#This Row],[Species in production]])/Table11[[#This Row],[ASC certified net production volume (tonnes)]]), "")</f>
        <v/>
      </c>
      <c r="T68" s="27" t="str" cm="1">
        <f t="array" ref="T68" xml:space="preserve"> IFERROR((((SUMPRODUCT((Q68=Table10[Species in production])*(Table10[Animal protein content (%)]))*R68)/100)/(SUMIFS(Table38[Protein fed per feed type (tonnes)], Table7[Species in production (select)],Table11[[#This Row],[Species in production]]))*100), "")</f>
        <v/>
      </c>
      <c r="U68" s="27" t="str">
        <f xml:space="preserve"> IFERROR((SUMIFS(Table38[FM%/yield*feed use], Table7[Species in production (select)],Table11[[#This Row],[Species in production]])/SUMIFS(Table7[Feed use (tonnes)],Table7[Species in production (select)], Table11[[#This Row],[Species in production]])*Table11[[#This Row],[eFCR]]), "")</f>
        <v/>
      </c>
      <c r="V68" s="27" t="str">
        <f xml:space="preserve"> IFERROR((SUMIFS(Table38[FO%/yield*feed use], Table7[Species in production (select)],Table11[[#This Row],[Species in production]])/SUMIFS(Table7[Feed use (tonnes)], Table7[Species in production (select)], Table11[[#This Row],[Species in production]])*Table11[[#This Row],[eFCR]]), "")</f>
        <v/>
      </c>
      <c r="W68" s="27" t="str">
        <f xml:space="preserve"> IFERROR((SUMIFS(Table38[total EPA and DHA in feed, per type (g)],Table7[Species in production (select)], Table11[[#This Row],[Species in production]])/(SUMIFS(Table7[Feed use (tonnes)],Table7[Species in production (select)], Table11[[#This Row],[Species in production]])*1000)), "")</f>
        <v/>
      </c>
      <c r="X68" s="27" t="str">
        <f>IFERROR((SUMIFS(Table38[EPA and DHA% * feed use],Table7[Species in production (select)], Table11[[#This Row],[Species in production]])/(SUMIFS(Table7[Feed use (tonnes)],Table7[Species in production (select)], Table11[[#This Row],[Species in production]]))), "")</f>
        <v/>
      </c>
    </row>
    <row r="69" spans="3:29" x14ac:dyDescent="0.4">
      <c r="C69" s="31"/>
      <c r="D69" s="235"/>
      <c r="E69" s="236"/>
      <c r="F69" s="236"/>
      <c r="G69" s="236"/>
      <c r="H69" s="236"/>
      <c r="I69" s="31"/>
      <c r="J69" s="236"/>
      <c r="K69" s="30"/>
      <c r="L69" s="237"/>
      <c r="N69" s="19" t="str">
        <f>IF('Dropdown tables - Production'!G67= 0, "", 'Dropdown tables - Production'!G67)</f>
        <v/>
      </c>
      <c r="O69" s="31"/>
      <c r="Q69" s="19" t="str">
        <f>IF('Dropdown tables - Production'!G67= 0, "", 'Dropdown tables - Production'!G67)</f>
        <v/>
      </c>
      <c r="R69" s="27" t="str">
        <f>IF(Table11[[#This Row],[Species in production]]= "", "", SUMIFS(Table126[ASC certified net production volume (tonnes)],Table126[Species in production (Latin name) (select)],Feed!Q69))</f>
        <v/>
      </c>
      <c r="S69" s="27" t="str">
        <f>IFERROR((SUMIFS(Table7[Feed use (tonnes)],Table7[Species in production (select)],Table11[[#This Row],[Species in production]])/Table11[[#This Row],[ASC certified net production volume (tonnes)]]), "")</f>
        <v/>
      </c>
      <c r="T69" s="27" t="str" cm="1">
        <f t="array" ref="T69" xml:space="preserve"> IFERROR((((SUMPRODUCT((Q69=Table10[Species in production])*(Table10[Animal protein content (%)]))*R69)/100)/(SUMIFS(Table38[Protein fed per feed type (tonnes)], Table7[Species in production (select)],Table11[[#This Row],[Species in production]]))*100), "")</f>
        <v/>
      </c>
      <c r="U69" s="27" t="str">
        <f xml:space="preserve"> IFERROR((SUMIFS(Table38[FM%/yield*feed use], Table7[Species in production (select)],Table11[[#This Row],[Species in production]])/SUMIFS(Table7[Feed use (tonnes)],Table7[Species in production (select)], Table11[[#This Row],[Species in production]])*Table11[[#This Row],[eFCR]]), "")</f>
        <v/>
      </c>
      <c r="V69" s="27" t="str">
        <f xml:space="preserve"> IFERROR((SUMIFS(Table38[FO%/yield*feed use], Table7[Species in production (select)],Table11[[#This Row],[Species in production]])/SUMIFS(Table7[Feed use (tonnes)], Table7[Species in production (select)], Table11[[#This Row],[Species in production]])*Table11[[#This Row],[eFCR]]), "")</f>
        <v/>
      </c>
      <c r="W69" s="27" t="str">
        <f xml:space="preserve"> IFERROR((SUMIFS(Table38[total EPA and DHA in feed, per type (g)],Table7[Species in production (select)], Table11[[#This Row],[Species in production]])/(SUMIFS(Table7[Feed use (tonnes)],Table7[Species in production (select)], Table11[[#This Row],[Species in production]])*1000)), "")</f>
        <v/>
      </c>
      <c r="X69" s="27" t="str">
        <f>IFERROR((SUMIFS(Table38[EPA and DHA% * feed use],Table7[Species in production (select)], Table11[[#This Row],[Species in production]])/(SUMIFS(Table7[Feed use (tonnes)],Table7[Species in production (select)], Table11[[#This Row],[Species in production]]))), "")</f>
        <v/>
      </c>
    </row>
    <row r="70" spans="3:29" x14ac:dyDescent="0.4">
      <c r="C70" s="31"/>
      <c r="D70" s="235"/>
      <c r="E70" s="236"/>
      <c r="F70" s="236"/>
      <c r="G70" s="236"/>
      <c r="H70" s="236"/>
      <c r="I70" s="31"/>
      <c r="J70" s="236"/>
      <c r="K70" s="30"/>
      <c r="L70" s="237"/>
      <c r="N70" s="19" t="str">
        <f>IF('Dropdown tables - Production'!G68= 0, "", 'Dropdown tables - Production'!G68)</f>
        <v/>
      </c>
      <c r="O70" s="31"/>
      <c r="Q70" s="19" t="str">
        <f>IF('Dropdown tables - Production'!G68= 0, "", 'Dropdown tables - Production'!G68)</f>
        <v/>
      </c>
      <c r="R70" s="27" t="str">
        <f>IF(Table11[[#This Row],[Species in production]]= "", "", SUMIFS(Table126[ASC certified net production volume (tonnes)],Table126[Species in production (Latin name) (select)],Feed!Q70))</f>
        <v/>
      </c>
      <c r="S70" s="27" t="str">
        <f>IFERROR((SUMIFS(Table7[Feed use (tonnes)],Table7[Species in production (select)],Table11[[#This Row],[Species in production]])/Table11[[#This Row],[ASC certified net production volume (tonnes)]]), "")</f>
        <v/>
      </c>
      <c r="T70" s="27" t="str" cm="1">
        <f t="array" ref="T70" xml:space="preserve"> IFERROR((((SUMPRODUCT((Q70=Table10[Species in production])*(Table10[Animal protein content (%)]))*R70)/100)/(SUMIFS(Table38[Protein fed per feed type (tonnes)], Table7[Species in production (select)],Table11[[#This Row],[Species in production]]))*100), "")</f>
        <v/>
      </c>
      <c r="U70" s="27" t="str">
        <f xml:space="preserve"> IFERROR((SUMIFS(Table38[FM%/yield*feed use], Table7[Species in production (select)],Table11[[#This Row],[Species in production]])/SUMIFS(Table7[Feed use (tonnes)],Table7[Species in production (select)], Table11[[#This Row],[Species in production]])*Table11[[#This Row],[eFCR]]), "")</f>
        <v/>
      </c>
      <c r="V70" s="27" t="str">
        <f xml:space="preserve"> IFERROR((SUMIFS(Table38[FO%/yield*feed use], Table7[Species in production (select)],Table11[[#This Row],[Species in production]])/SUMIFS(Table7[Feed use (tonnes)], Table7[Species in production (select)], Table11[[#This Row],[Species in production]])*Table11[[#This Row],[eFCR]]), "")</f>
        <v/>
      </c>
      <c r="W70" s="27" t="str">
        <f xml:space="preserve"> IFERROR((SUMIFS(Table38[total EPA and DHA in feed, per type (g)],Table7[Species in production (select)], Table11[[#This Row],[Species in production]])/(SUMIFS(Table7[Feed use (tonnes)],Table7[Species in production (select)], Table11[[#This Row],[Species in production]])*1000)), "")</f>
        <v/>
      </c>
      <c r="X70" s="27" t="str">
        <f>IFERROR((SUMIFS(Table38[EPA and DHA% * feed use],Table7[Species in production (select)], Table11[[#This Row],[Species in production]])/(SUMIFS(Table7[Feed use (tonnes)],Table7[Species in production (select)], Table11[[#This Row],[Species in production]]))), "")</f>
        <v/>
      </c>
    </row>
    <row r="72" spans="3:29" x14ac:dyDescent="0.4">
      <c r="C72" s="18" t="s">
        <v>1932</v>
      </c>
    </row>
    <row r="73" spans="3:29" hidden="1" x14ac:dyDescent="0.4">
      <c r="C73" s="15">
        <v>9.1199999999999992</v>
      </c>
      <c r="D73" s="15">
        <v>9.1300000000000008</v>
      </c>
      <c r="E73" s="15">
        <v>9.14</v>
      </c>
      <c r="F73" s="15">
        <v>9.15</v>
      </c>
      <c r="G73" s="15">
        <v>9.16</v>
      </c>
    </row>
    <row r="74" spans="3:29" ht="34.200000000000003" thickBot="1" x14ac:dyDescent="0.45">
      <c r="C74" s="49" t="s">
        <v>205</v>
      </c>
      <c r="D74" s="54" t="s">
        <v>68</v>
      </c>
      <c r="E74" s="53" t="s">
        <v>206</v>
      </c>
      <c r="F74" s="53" t="s">
        <v>207</v>
      </c>
      <c r="G74" s="55" t="s">
        <v>56</v>
      </c>
      <c r="J74" s="42"/>
      <c r="K74" s="15"/>
      <c r="Y74" s="43" t="s">
        <v>208</v>
      </c>
      <c r="Z74" s="44" t="s">
        <v>209</v>
      </c>
      <c r="AA74" s="44" t="s">
        <v>210</v>
      </c>
      <c r="AB74" s="45" t="s">
        <v>211</v>
      </c>
      <c r="AC74" s="44" t="s">
        <v>212</v>
      </c>
    </row>
    <row r="75" spans="3:29" ht="17.399999999999999" thickTop="1" x14ac:dyDescent="0.4">
      <c r="C75" s="31"/>
      <c r="D75" s="235"/>
      <c r="E75" s="31"/>
      <c r="F75" s="236"/>
      <c r="G75" s="237"/>
      <c r="J75" s="42"/>
      <c r="K75" s="15"/>
      <c r="Y75" s="348" t="e">
        <f t="shared" ref="Y75:Y106" si="0">(VLOOKUP(E75, $C$4:$J$70, 8, 0))/100*F75</f>
        <v>#N/A</v>
      </c>
      <c r="Z75" s="349" t="e">
        <f t="shared" ref="Z75:Z106" si="1">(VLOOKUP(E75,$C$4:$J$70,4,0))*(VLOOKUP(E75,$C$4:$J$70,5,0))*F75*100</f>
        <v>#N/A</v>
      </c>
      <c r="AA75" s="46" t="e">
        <f>(VLOOKUP(E75,Table6[#All],4,0))/(VLOOKUP(E75,Table6[#All],6,0))*F75</f>
        <v>#N/A</v>
      </c>
      <c r="AB75" s="47" t="e">
        <f>(VLOOKUP(E75,Table6[#All],3,0))/(VLOOKUP(E75,Table6[#All],7,0))*F75</f>
        <v>#N/A</v>
      </c>
      <c r="AC75" t="e">
        <f t="shared" ref="AC75:AC106" si="2">(VLOOKUP(E75,$C$4:$J$70,5,0))*F75</f>
        <v>#N/A</v>
      </c>
    </row>
    <row r="76" spans="3:29" x14ac:dyDescent="0.4">
      <c r="C76" s="31"/>
      <c r="D76" s="235"/>
      <c r="E76" s="31"/>
      <c r="F76" s="236"/>
      <c r="G76" s="237"/>
      <c r="J76" s="42"/>
      <c r="K76" s="15"/>
      <c r="Y76" s="348" t="e">
        <f t="shared" si="0"/>
        <v>#N/A</v>
      </c>
      <c r="Z76" s="349" t="e">
        <f t="shared" si="1"/>
        <v>#N/A</v>
      </c>
      <c r="AA76" s="46" t="e">
        <f>(VLOOKUP(E76,Table6[#All],4,0))/(VLOOKUP(E76,Table6[#All],6,0))*F76</f>
        <v>#N/A</v>
      </c>
      <c r="AB76" s="47" t="e">
        <f>(VLOOKUP(E76,Table6[#All],3,0))/(VLOOKUP(E76,Table6[#All],7,0))*F76</f>
        <v>#N/A</v>
      </c>
      <c r="AC76" t="e">
        <f t="shared" si="2"/>
        <v>#N/A</v>
      </c>
    </row>
    <row r="77" spans="3:29" x14ac:dyDescent="0.4">
      <c r="C77" s="31"/>
      <c r="D77" s="235"/>
      <c r="E77" s="31"/>
      <c r="F77" s="236"/>
      <c r="G77" s="237"/>
      <c r="J77" s="42"/>
      <c r="K77" s="15"/>
      <c r="M77" s="42"/>
      <c r="Y77" s="348" t="e">
        <f t="shared" si="0"/>
        <v>#N/A</v>
      </c>
      <c r="Z77" s="349" t="e">
        <f t="shared" si="1"/>
        <v>#N/A</v>
      </c>
      <c r="AA77" s="46" t="e">
        <f>(VLOOKUP(E77,Table6[#All],4,0))/(VLOOKUP(E77,Table6[#All],6,0))*F77</f>
        <v>#N/A</v>
      </c>
      <c r="AB77" s="47" t="e">
        <f>(VLOOKUP(E77,Table6[#All],3,0))/(VLOOKUP(E77,Table6[#All],7,0))*F77</f>
        <v>#N/A</v>
      </c>
      <c r="AC77" t="e">
        <f t="shared" si="2"/>
        <v>#N/A</v>
      </c>
    </row>
    <row r="78" spans="3:29" x14ac:dyDescent="0.4">
      <c r="C78" s="31"/>
      <c r="D78" s="235"/>
      <c r="E78" s="31"/>
      <c r="F78" s="236"/>
      <c r="G78" s="237"/>
      <c r="J78" s="42"/>
      <c r="K78" s="15"/>
      <c r="M78" s="42"/>
      <c r="Y78" s="348" t="e">
        <f t="shared" si="0"/>
        <v>#N/A</v>
      </c>
      <c r="Z78" s="349" t="e">
        <f t="shared" si="1"/>
        <v>#N/A</v>
      </c>
      <c r="AA78" s="46" t="e">
        <f>(VLOOKUP(E78,Table6[#All],4,0))/(VLOOKUP(E78,Table6[#All],6,0))*F78</f>
        <v>#N/A</v>
      </c>
      <c r="AB78" s="47" t="e">
        <f>(VLOOKUP(E78,Table6[#All],3,0))/(VLOOKUP(E78,Table6[#All],7,0))*F78</f>
        <v>#N/A</v>
      </c>
      <c r="AC78" t="e">
        <f t="shared" si="2"/>
        <v>#N/A</v>
      </c>
    </row>
    <row r="79" spans="3:29" x14ac:dyDescent="0.4">
      <c r="C79" s="31"/>
      <c r="D79" s="235"/>
      <c r="E79" s="31"/>
      <c r="F79" s="236"/>
      <c r="G79" s="237"/>
      <c r="J79" s="42"/>
      <c r="K79" s="15"/>
      <c r="M79" s="42"/>
      <c r="Y79" s="348" t="e">
        <f t="shared" si="0"/>
        <v>#N/A</v>
      </c>
      <c r="Z79" s="349" t="e">
        <f t="shared" si="1"/>
        <v>#N/A</v>
      </c>
      <c r="AA79" s="46" t="e">
        <f>(VLOOKUP(E79,Table6[#All],4,0))/(VLOOKUP(E79,Table6[#All],6,0))*F79</f>
        <v>#N/A</v>
      </c>
      <c r="AB79" s="47" t="e">
        <f>(VLOOKUP(E79,Table6[#All],3,0))/(VLOOKUP(E79,Table6[#All],7,0))*F79</f>
        <v>#N/A</v>
      </c>
      <c r="AC79" t="e">
        <f t="shared" si="2"/>
        <v>#N/A</v>
      </c>
    </row>
    <row r="80" spans="3:29" x14ac:dyDescent="0.4">
      <c r="C80" s="31"/>
      <c r="D80" s="235"/>
      <c r="E80" s="31"/>
      <c r="F80" s="236"/>
      <c r="G80" s="237"/>
      <c r="J80" s="42"/>
      <c r="K80" s="15"/>
      <c r="M80" s="42"/>
      <c r="Y80" s="348" t="e">
        <f t="shared" si="0"/>
        <v>#N/A</v>
      </c>
      <c r="Z80" s="349" t="e">
        <f t="shared" si="1"/>
        <v>#N/A</v>
      </c>
      <c r="AA80" s="46" t="e">
        <f>(VLOOKUP(E80,Table6[#All],4,0))/(VLOOKUP(E80,Table6[#All],6,0))*F80</f>
        <v>#N/A</v>
      </c>
      <c r="AB80" s="47" t="e">
        <f>(VLOOKUP(E80,Table6[#All],3,0))/(VLOOKUP(E80,Table6[#All],7,0))*F80</f>
        <v>#N/A</v>
      </c>
      <c r="AC80" t="e">
        <f t="shared" si="2"/>
        <v>#N/A</v>
      </c>
    </row>
    <row r="81" spans="3:29" x14ac:dyDescent="0.4">
      <c r="C81" s="31"/>
      <c r="D81" s="235"/>
      <c r="E81" s="31"/>
      <c r="F81" s="236"/>
      <c r="G81" s="237"/>
      <c r="J81" s="42"/>
      <c r="K81" s="15"/>
      <c r="M81" s="42"/>
      <c r="Y81" s="348" t="e">
        <f t="shared" si="0"/>
        <v>#N/A</v>
      </c>
      <c r="Z81" s="349" t="e">
        <f t="shared" si="1"/>
        <v>#N/A</v>
      </c>
      <c r="AA81" s="46" t="e">
        <f>(VLOOKUP(E81,Table6[#All],4,0))/(VLOOKUP(E81,Table6[#All],6,0))*F81</f>
        <v>#N/A</v>
      </c>
      <c r="AB81" s="47" t="e">
        <f>(VLOOKUP(E81,Table6[#All],3,0))/(VLOOKUP(E81,Table6[#All],7,0))*F81</f>
        <v>#N/A</v>
      </c>
      <c r="AC81" t="e">
        <f t="shared" si="2"/>
        <v>#N/A</v>
      </c>
    </row>
    <row r="82" spans="3:29" x14ac:dyDescent="0.4">
      <c r="C82" s="31"/>
      <c r="D82" s="235"/>
      <c r="E82" s="31"/>
      <c r="F82" s="236"/>
      <c r="G82" s="237"/>
      <c r="J82" s="42"/>
      <c r="K82" s="15"/>
      <c r="M82" s="42"/>
      <c r="Y82" s="348" t="e">
        <f t="shared" si="0"/>
        <v>#N/A</v>
      </c>
      <c r="Z82" s="349" t="e">
        <f t="shared" si="1"/>
        <v>#N/A</v>
      </c>
      <c r="AA82" s="46" t="e">
        <f>(VLOOKUP(E82,Table6[#All],4,0))/(VLOOKUP(E82,Table6[#All],6,0))*F82</f>
        <v>#N/A</v>
      </c>
      <c r="AB82" s="47" t="e">
        <f>(VLOOKUP(E82,Table6[#All],3,0))/(VLOOKUP(E82,Table6[#All],7,0))*F82</f>
        <v>#N/A</v>
      </c>
      <c r="AC82" t="e">
        <f t="shared" si="2"/>
        <v>#N/A</v>
      </c>
    </row>
    <row r="83" spans="3:29" x14ac:dyDescent="0.4">
      <c r="C83" s="31"/>
      <c r="D83" s="235"/>
      <c r="E83" s="31"/>
      <c r="F83" s="236"/>
      <c r="G83" s="237"/>
      <c r="J83" s="42"/>
      <c r="K83" s="15"/>
      <c r="M83" s="42"/>
      <c r="Y83" s="348" t="e">
        <f t="shared" si="0"/>
        <v>#N/A</v>
      </c>
      <c r="Z83" s="349" t="e">
        <f t="shared" si="1"/>
        <v>#N/A</v>
      </c>
      <c r="AA83" s="46" t="e">
        <f>(VLOOKUP(E83,Table6[#All],4,0))/(VLOOKUP(E83,Table6[#All],6,0))*F83</f>
        <v>#N/A</v>
      </c>
      <c r="AB83" s="47" t="e">
        <f>(VLOOKUP(E83,Table6[#All],3,0))/(VLOOKUP(E83,Table6[#All],7,0))*F83</f>
        <v>#N/A</v>
      </c>
      <c r="AC83" t="e">
        <f t="shared" si="2"/>
        <v>#N/A</v>
      </c>
    </row>
    <row r="84" spans="3:29" x14ac:dyDescent="0.4">
      <c r="C84" s="31"/>
      <c r="D84" s="235"/>
      <c r="E84" s="31"/>
      <c r="F84" s="236"/>
      <c r="G84" s="237"/>
      <c r="J84" s="42"/>
      <c r="K84" s="15"/>
      <c r="M84" s="42"/>
      <c r="Y84" s="348" t="e">
        <f t="shared" si="0"/>
        <v>#N/A</v>
      </c>
      <c r="Z84" s="349" t="e">
        <f t="shared" si="1"/>
        <v>#N/A</v>
      </c>
      <c r="AA84" s="46" t="e">
        <f>(VLOOKUP(E84,Table6[#All],4,0))/(VLOOKUP(E84,Table6[#All],6,0))*F84</f>
        <v>#N/A</v>
      </c>
      <c r="AB84" s="47" t="e">
        <f>(VLOOKUP(E84,Table6[#All],3,0))/(VLOOKUP(E84,Table6[#All],7,0))*F84</f>
        <v>#N/A</v>
      </c>
      <c r="AC84" t="e">
        <f t="shared" si="2"/>
        <v>#N/A</v>
      </c>
    </row>
    <row r="85" spans="3:29" x14ac:dyDescent="0.4">
      <c r="C85" s="31"/>
      <c r="D85" s="235"/>
      <c r="E85" s="31"/>
      <c r="F85" s="236"/>
      <c r="G85" s="237"/>
      <c r="J85" s="42"/>
      <c r="K85" s="15"/>
      <c r="M85" s="42"/>
      <c r="Y85" s="348" t="e">
        <f t="shared" si="0"/>
        <v>#N/A</v>
      </c>
      <c r="Z85" s="349" t="e">
        <f t="shared" si="1"/>
        <v>#N/A</v>
      </c>
      <c r="AA85" s="46" t="e">
        <f>(VLOOKUP(E85,Table6[#All],4,0))/(VLOOKUP(E85,Table6[#All],6,0))*F85</f>
        <v>#N/A</v>
      </c>
      <c r="AB85" s="47" t="e">
        <f>(VLOOKUP(E85,Table6[#All],3,0))/(VLOOKUP(E85,Table6[#All],7,0))*F85</f>
        <v>#N/A</v>
      </c>
      <c r="AC85" t="e">
        <f t="shared" si="2"/>
        <v>#N/A</v>
      </c>
    </row>
    <row r="86" spans="3:29" x14ac:dyDescent="0.4">
      <c r="C86" s="31"/>
      <c r="D86" s="235"/>
      <c r="E86" s="31"/>
      <c r="F86" s="236"/>
      <c r="G86" s="237"/>
      <c r="J86" s="42"/>
      <c r="K86" s="15"/>
      <c r="M86" s="42"/>
      <c r="Y86" s="348" t="e">
        <f t="shared" si="0"/>
        <v>#N/A</v>
      </c>
      <c r="Z86" s="349" t="e">
        <f t="shared" si="1"/>
        <v>#N/A</v>
      </c>
      <c r="AA86" s="46" t="e">
        <f>(VLOOKUP(E86,Table6[#All],4,0))/(VLOOKUP(E86,Table6[#All],6,0))*F86</f>
        <v>#N/A</v>
      </c>
      <c r="AB86" s="47" t="e">
        <f>(VLOOKUP(E86,Table6[#All],3,0))/(VLOOKUP(E86,Table6[#All],7,0))*F86</f>
        <v>#N/A</v>
      </c>
      <c r="AC86" t="e">
        <f t="shared" si="2"/>
        <v>#N/A</v>
      </c>
    </row>
    <row r="87" spans="3:29" x14ac:dyDescent="0.4">
      <c r="C87" s="31"/>
      <c r="D87" s="235"/>
      <c r="E87" s="31"/>
      <c r="F87" s="236"/>
      <c r="G87" s="237"/>
      <c r="J87" s="42"/>
      <c r="K87" s="15"/>
      <c r="Y87" s="348" t="e">
        <f t="shared" si="0"/>
        <v>#N/A</v>
      </c>
      <c r="Z87" s="349" t="e">
        <f t="shared" si="1"/>
        <v>#N/A</v>
      </c>
      <c r="AA87" s="46" t="e">
        <f>(VLOOKUP(E87,Table6[#All],4,0))/(VLOOKUP(E87,Table6[#All],6,0))*F87</f>
        <v>#N/A</v>
      </c>
      <c r="AB87" s="47" t="e">
        <f>(VLOOKUP(E87,Table6[#All],3,0))/(VLOOKUP(E87,Table6[#All],7,0))*F87</f>
        <v>#N/A</v>
      </c>
      <c r="AC87" t="e">
        <f t="shared" si="2"/>
        <v>#N/A</v>
      </c>
    </row>
    <row r="88" spans="3:29" x14ac:dyDescent="0.4">
      <c r="C88" s="31"/>
      <c r="D88" s="235"/>
      <c r="E88" s="31"/>
      <c r="F88" s="236"/>
      <c r="G88" s="237"/>
      <c r="J88" s="42"/>
      <c r="K88" s="15"/>
      <c r="Y88" s="348" t="e">
        <f t="shared" si="0"/>
        <v>#N/A</v>
      </c>
      <c r="Z88" s="349" t="e">
        <f t="shared" si="1"/>
        <v>#N/A</v>
      </c>
      <c r="AA88" s="46" t="e">
        <f>(VLOOKUP(E88,Table6[#All],4,0))/(VLOOKUP(E88,Table6[#All],6,0))*F88</f>
        <v>#N/A</v>
      </c>
      <c r="AB88" s="47" t="e">
        <f>(VLOOKUP(E88,Table6[#All],3,0))/(VLOOKUP(E88,Table6[#All],7,0))*F88</f>
        <v>#N/A</v>
      </c>
      <c r="AC88" t="e">
        <f t="shared" si="2"/>
        <v>#N/A</v>
      </c>
    </row>
    <row r="89" spans="3:29" x14ac:dyDescent="0.4">
      <c r="C89" s="31"/>
      <c r="D89" s="235"/>
      <c r="E89" s="31"/>
      <c r="F89" s="236"/>
      <c r="G89" s="237"/>
      <c r="J89" s="42"/>
      <c r="K89" s="15"/>
      <c r="Y89" s="348" t="e">
        <f t="shared" si="0"/>
        <v>#N/A</v>
      </c>
      <c r="Z89" s="349" t="e">
        <f t="shared" si="1"/>
        <v>#N/A</v>
      </c>
      <c r="AA89" s="46" t="e">
        <f>(VLOOKUP(E89,Table6[#All],4,0))/(VLOOKUP(E89,Table6[#All],6,0))*F89</f>
        <v>#N/A</v>
      </c>
      <c r="AB89" s="47" t="e">
        <f>(VLOOKUP(E89,Table6[#All],3,0))/(VLOOKUP(E89,Table6[#All],7,0))*F89</f>
        <v>#N/A</v>
      </c>
      <c r="AC89" t="e">
        <f t="shared" si="2"/>
        <v>#N/A</v>
      </c>
    </row>
    <row r="90" spans="3:29" x14ac:dyDescent="0.4">
      <c r="C90" s="31"/>
      <c r="D90" s="235"/>
      <c r="E90" s="31"/>
      <c r="F90" s="236"/>
      <c r="G90" s="237"/>
      <c r="J90" s="42"/>
      <c r="K90" s="15"/>
      <c r="Y90" s="348" t="e">
        <f t="shared" si="0"/>
        <v>#N/A</v>
      </c>
      <c r="Z90" s="349" t="e">
        <f t="shared" si="1"/>
        <v>#N/A</v>
      </c>
      <c r="AA90" s="46" t="e">
        <f>(VLOOKUP(E90,Table6[#All],4,0))/(VLOOKUP(E90,Table6[#All],6,0))*F90</f>
        <v>#N/A</v>
      </c>
      <c r="AB90" s="47" t="e">
        <f>(VLOOKUP(E90,Table6[#All],3,0))/(VLOOKUP(E90,Table6[#All],7,0))*F90</f>
        <v>#N/A</v>
      </c>
      <c r="AC90" t="e">
        <f t="shared" si="2"/>
        <v>#N/A</v>
      </c>
    </row>
    <row r="91" spans="3:29" x14ac:dyDescent="0.4">
      <c r="C91" s="31"/>
      <c r="D91" s="235"/>
      <c r="E91" s="31"/>
      <c r="F91" s="236"/>
      <c r="G91" s="237"/>
      <c r="J91" s="42"/>
      <c r="K91" s="15"/>
      <c r="Y91" s="348" t="e">
        <f t="shared" si="0"/>
        <v>#N/A</v>
      </c>
      <c r="Z91" s="349" t="e">
        <f t="shared" si="1"/>
        <v>#N/A</v>
      </c>
      <c r="AA91" s="46" t="e">
        <f>(VLOOKUP(E91,Table6[#All],4,0))/(VLOOKUP(E91,Table6[#All],6,0))*F91</f>
        <v>#N/A</v>
      </c>
      <c r="AB91" s="47" t="e">
        <f>(VLOOKUP(E91,Table6[#All],3,0))/(VLOOKUP(E91,Table6[#All],7,0))*F91</f>
        <v>#N/A</v>
      </c>
      <c r="AC91" t="e">
        <f t="shared" si="2"/>
        <v>#N/A</v>
      </c>
    </row>
    <row r="92" spans="3:29" x14ac:dyDescent="0.4">
      <c r="C92" s="31"/>
      <c r="D92" s="235"/>
      <c r="E92" s="31"/>
      <c r="F92" s="236"/>
      <c r="G92" s="237"/>
      <c r="J92" s="42"/>
      <c r="K92" s="15"/>
      <c r="Y92" s="348" t="e">
        <f t="shared" si="0"/>
        <v>#N/A</v>
      </c>
      <c r="Z92" s="349" t="e">
        <f t="shared" si="1"/>
        <v>#N/A</v>
      </c>
      <c r="AA92" s="46" t="e">
        <f>(VLOOKUP(E92,Table6[#All],4,0))/(VLOOKUP(E92,Table6[#All],6,0))*F92</f>
        <v>#N/A</v>
      </c>
      <c r="AB92" s="47" t="e">
        <f>(VLOOKUP(E92,Table6[#All],3,0))/(VLOOKUP(E92,Table6[#All],7,0))*F92</f>
        <v>#N/A</v>
      </c>
      <c r="AC92" t="e">
        <f t="shared" si="2"/>
        <v>#N/A</v>
      </c>
    </row>
    <row r="93" spans="3:29" x14ac:dyDescent="0.4">
      <c r="C93" s="31"/>
      <c r="D93" s="235"/>
      <c r="E93" s="31"/>
      <c r="F93" s="236"/>
      <c r="G93" s="237"/>
      <c r="J93" s="42"/>
      <c r="K93" s="15"/>
      <c r="Y93" s="348" t="e">
        <f t="shared" si="0"/>
        <v>#N/A</v>
      </c>
      <c r="Z93" s="349" t="e">
        <f t="shared" si="1"/>
        <v>#N/A</v>
      </c>
      <c r="AA93" s="46" t="e">
        <f>(VLOOKUP(E93,Table6[#All],4,0))/(VLOOKUP(E93,Table6[#All],6,0))*F93</f>
        <v>#N/A</v>
      </c>
      <c r="AB93" s="47" t="e">
        <f>(VLOOKUP(E93,Table6[#All],3,0))/(VLOOKUP(E93,Table6[#All],7,0))*F93</f>
        <v>#N/A</v>
      </c>
      <c r="AC93" t="e">
        <f t="shared" si="2"/>
        <v>#N/A</v>
      </c>
    </row>
    <row r="94" spans="3:29" x14ac:dyDescent="0.4">
      <c r="C94" s="31"/>
      <c r="D94" s="235"/>
      <c r="E94" s="31"/>
      <c r="F94" s="236"/>
      <c r="G94" s="237"/>
      <c r="J94" s="42"/>
      <c r="K94" s="15"/>
      <c r="Y94" s="348" t="e">
        <f t="shared" si="0"/>
        <v>#N/A</v>
      </c>
      <c r="Z94" s="349" t="e">
        <f t="shared" si="1"/>
        <v>#N/A</v>
      </c>
      <c r="AA94" s="46" t="e">
        <f>(VLOOKUP(E94,Table6[#All],4,0))/(VLOOKUP(E94,Table6[#All],6,0))*F94</f>
        <v>#N/A</v>
      </c>
      <c r="AB94" s="47" t="e">
        <f>(VLOOKUP(E94,Table6[#All],3,0))/(VLOOKUP(E94,Table6[#All],7,0))*F94</f>
        <v>#N/A</v>
      </c>
      <c r="AC94" t="e">
        <f t="shared" si="2"/>
        <v>#N/A</v>
      </c>
    </row>
    <row r="95" spans="3:29" x14ac:dyDescent="0.4">
      <c r="C95" s="31"/>
      <c r="D95" s="235"/>
      <c r="E95" s="31"/>
      <c r="F95" s="236"/>
      <c r="G95" s="237"/>
      <c r="J95" s="42"/>
      <c r="K95" s="15"/>
      <c r="Y95" s="348" t="e">
        <f t="shared" si="0"/>
        <v>#N/A</v>
      </c>
      <c r="Z95" s="349" t="e">
        <f t="shared" si="1"/>
        <v>#N/A</v>
      </c>
      <c r="AA95" s="46" t="e">
        <f>(VLOOKUP(E95,Table6[#All],4,0))/(VLOOKUP(E95,Table6[#All],6,0))*F95</f>
        <v>#N/A</v>
      </c>
      <c r="AB95" s="47" t="e">
        <f>(VLOOKUP(E95,Table6[#All],3,0))/(VLOOKUP(E95,Table6[#All],7,0))*F95</f>
        <v>#N/A</v>
      </c>
      <c r="AC95" t="e">
        <f t="shared" si="2"/>
        <v>#N/A</v>
      </c>
    </row>
    <row r="96" spans="3:29" x14ac:dyDescent="0.4">
      <c r="C96" s="31"/>
      <c r="D96" s="235"/>
      <c r="E96" s="31"/>
      <c r="F96" s="236"/>
      <c r="G96" s="237"/>
      <c r="J96" s="42"/>
      <c r="K96" s="15"/>
      <c r="Y96" s="348" t="e">
        <f t="shared" si="0"/>
        <v>#N/A</v>
      </c>
      <c r="Z96" s="349" t="e">
        <f t="shared" si="1"/>
        <v>#N/A</v>
      </c>
      <c r="AA96" s="46" t="e">
        <f>(VLOOKUP(E96,Table6[#All],4,0))/(VLOOKUP(E96,Table6[#All],6,0))*F96</f>
        <v>#N/A</v>
      </c>
      <c r="AB96" s="47" t="e">
        <f>(VLOOKUP(E96,Table6[#All],3,0))/(VLOOKUP(E96,Table6[#All],7,0))*F96</f>
        <v>#N/A</v>
      </c>
      <c r="AC96" t="e">
        <f t="shared" si="2"/>
        <v>#N/A</v>
      </c>
    </row>
    <row r="97" spans="3:29" x14ac:dyDescent="0.4">
      <c r="C97" s="31"/>
      <c r="D97" s="235"/>
      <c r="E97" s="31"/>
      <c r="F97" s="236"/>
      <c r="G97" s="237"/>
      <c r="J97" s="42"/>
      <c r="K97" s="15"/>
      <c r="Y97" s="348" t="e">
        <f t="shared" si="0"/>
        <v>#N/A</v>
      </c>
      <c r="Z97" s="349" t="e">
        <f t="shared" si="1"/>
        <v>#N/A</v>
      </c>
      <c r="AA97" s="46" t="e">
        <f>(VLOOKUP(E97,Table6[#All],4,0))/(VLOOKUP(E97,Table6[#All],6,0))*F97</f>
        <v>#N/A</v>
      </c>
      <c r="AB97" s="47" t="e">
        <f>(VLOOKUP(E97,Table6[#All],3,0))/(VLOOKUP(E97,Table6[#All],7,0))*F97</f>
        <v>#N/A</v>
      </c>
      <c r="AC97" t="e">
        <f t="shared" si="2"/>
        <v>#N/A</v>
      </c>
    </row>
    <row r="98" spans="3:29" x14ac:dyDescent="0.4">
      <c r="C98" s="31"/>
      <c r="D98" s="235"/>
      <c r="E98" s="31"/>
      <c r="F98" s="236"/>
      <c r="G98" s="237"/>
      <c r="J98" s="42"/>
      <c r="K98" s="15"/>
      <c r="Y98" s="348" t="e">
        <f t="shared" si="0"/>
        <v>#N/A</v>
      </c>
      <c r="Z98" s="349" t="e">
        <f t="shared" si="1"/>
        <v>#N/A</v>
      </c>
      <c r="AA98" s="46" t="e">
        <f>(VLOOKUP(E98,Table6[#All],4,0))/(VLOOKUP(E98,Table6[#All],6,0))*F98</f>
        <v>#N/A</v>
      </c>
      <c r="AB98" s="47" t="e">
        <f>(VLOOKUP(E98,Table6[#All],3,0))/(VLOOKUP(E98,Table6[#All],7,0))*F98</f>
        <v>#N/A</v>
      </c>
      <c r="AC98" t="e">
        <f t="shared" si="2"/>
        <v>#N/A</v>
      </c>
    </row>
    <row r="99" spans="3:29" x14ac:dyDescent="0.4">
      <c r="C99" s="31"/>
      <c r="D99" s="235"/>
      <c r="E99" s="31"/>
      <c r="F99" s="236"/>
      <c r="G99" s="237"/>
      <c r="J99" s="42"/>
      <c r="K99" s="15"/>
      <c r="Y99" s="348" t="e">
        <f t="shared" si="0"/>
        <v>#N/A</v>
      </c>
      <c r="Z99" s="349" t="e">
        <f t="shared" si="1"/>
        <v>#N/A</v>
      </c>
      <c r="AA99" s="46" t="e">
        <f>(VLOOKUP(E99,Table6[#All],4,0))/(VLOOKUP(E99,Table6[#All],6,0))*F99</f>
        <v>#N/A</v>
      </c>
      <c r="AB99" s="47" t="e">
        <f>(VLOOKUP(E99,Table6[#All],3,0))/(VLOOKUP(E99,Table6[#All],7,0))*F99</f>
        <v>#N/A</v>
      </c>
      <c r="AC99" t="e">
        <f t="shared" si="2"/>
        <v>#N/A</v>
      </c>
    </row>
    <row r="100" spans="3:29" x14ac:dyDescent="0.4">
      <c r="C100" s="31"/>
      <c r="D100" s="235"/>
      <c r="E100" s="31"/>
      <c r="F100" s="236"/>
      <c r="G100" s="237"/>
      <c r="J100" s="42"/>
      <c r="K100" s="15"/>
      <c r="Y100" s="348" t="e">
        <f t="shared" si="0"/>
        <v>#N/A</v>
      </c>
      <c r="Z100" s="349" t="e">
        <f t="shared" si="1"/>
        <v>#N/A</v>
      </c>
      <c r="AA100" s="46" t="e">
        <f>(VLOOKUP(E100,Table6[#All],4,0))/(VLOOKUP(E100,Table6[#All],6,0))*F100</f>
        <v>#N/A</v>
      </c>
      <c r="AB100" s="47" t="e">
        <f>(VLOOKUP(E100,Table6[#All],3,0))/(VLOOKUP(E100,Table6[#All],7,0))*F100</f>
        <v>#N/A</v>
      </c>
      <c r="AC100" t="e">
        <f t="shared" si="2"/>
        <v>#N/A</v>
      </c>
    </row>
    <row r="101" spans="3:29" x14ac:dyDescent="0.4">
      <c r="C101" s="31"/>
      <c r="D101" s="235"/>
      <c r="E101" s="31"/>
      <c r="F101" s="236"/>
      <c r="G101" s="237"/>
      <c r="J101" s="42"/>
      <c r="K101" s="15"/>
      <c r="Y101" s="348" t="e">
        <f t="shared" si="0"/>
        <v>#N/A</v>
      </c>
      <c r="Z101" s="349" t="e">
        <f t="shared" si="1"/>
        <v>#N/A</v>
      </c>
      <c r="AA101" s="46" t="e">
        <f>(VLOOKUP(E101,Table6[#All],4,0))/(VLOOKUP(E101,Table6[#All],6,0))*F101</f>
        <v>#N/A</v>
      </c>
      <c r="AB101" s="47" t="e">
        <f>(VLOOKUP(E101,Table6[#All],3,0))/(VLOOKUP(E101,Table6[#All],7,0))*F101</f>
        <v>#N/A</v>
      </c>
      <c r="AC101" t="e">
        <f t="shared" si="2"/>
        <v>#N/A</v>
      </c>
    </row>
    <row r="102" spans="3:29" x14ac:dyDescent="0.4">
      <c r="C102" s="31"/>
      <c r="D102" s="235"/>
      <c r="E102" s="31"/>
      <c r="F102" s="236"/>
      <c r="G102" s="237"/>
      <c r="J102" s="42"/>
      <c r="K102" s="15"/>
      <c r="Y102" s="348" t="e">
        <f t="shared" si="0"/>
        <v>#N/A</v>
      </c>
      <c r="Z102" s="349" t="e">
        <f t="shared" si="1"/>
        <v>#N/A</v>
      </c>
      <c r="AA102" s="46" t="e">
        <f>(VLOOKUP(E102,Table6[#All],4,0))/(VLOOKUP(E102,Table6[#All],6,0))*F102</f>
        <v>#N/A</v>
      </c>
      <c r="AB102" s="47" t="e">
        <f>(VLOOKUP(E102,Table6[#All],3,0))/(VLOOKUP(E102,Table6[#All],7,0))*F102</f>
        <v>#N/A</v>
      </c>
      <c r="AC102" t="e">
        <f t="shared" si="2"/>
        <v>#N/A</v>
      </c>
    </row>
    <row r="103" spans="3:29" x14ac:dyDescent="0.4">
      <c r="C103" s="31"/>
      <c r="D103" s="235"/>
      <c r="E103" s="31"/>
      <c r="F103" s="236"/>
      <c r="G103" s="237"/>
      <c r="J103" s="42"/>
      <c r="K103" s="15"/>
      <c r="Y103" s="348" t="e">
        <f t="shared" si="0"/>
        <v>#N/A</v>
      </c>
      <c r="Z103" s="349" t="e">
        <f t="shared" si="1"/>
        <v>#N/A</v>
      </c>
      <c r="AA103" s="46" t="e">
        <f>(VLOOKUP(E103,Table6[#All],4,0))/(VLOOKUP(E103,Table6[#All],6,0))*F103</f>
        <v>#N/A</v>
      </c>
      <c r="AB103" s="47" t="e">
        <f>(VLOOKUP(E103,Table6[#All],3,0))/(VLOOKUP(E103,Table6[#All],7,0))*F103</f>
        <v>#N/A</v>
      </c>
      <c r="AC103" t="e">
        <f t="shared" si="2"/>
        <v>#N/A</v>
      </c>
    </row>
    <row r="104" spans="3:29" x14ac:dyDescent="0.4">
      <c r="C104" s="31"/>
      <c r="D104" s="235"/>
      <c r="E104" s="31"/>
      <c r="F104" s="236"/>
      <c r="G104" s="237"/>
      <c r="J104" s="42"/>
      <c r="K104" s="15"/>
      <c r="Y104" s="348" t="e">
        <f t="shared" si="0"/>
        <v>#N/A</v>
      </c>
      <c r="Z104" s="349" t="e">
        <f t="shared" si="1"/>
        <v>#N/A</v>
      </c>
      <c r="AA104" s="46" t="e">
        <f>(VLOOKUP(E104,Table6[#All],4,0))/(VLOOKUP(E104,Table6[#All],6,0))*F104</f>
        <v>#N/A</v>
      </c>
      <c r="AB104" s="47" t="e">
        <f>(VLOOKUP(E104,Table6[#All],3,0))/(VLOOKUP(E104,Table6[#All],7,0))*F104</f>
        <v>#N/A</v>
      </c>
      <c r="AC104" t="e">
        <f t="shared" si="2"/>
        <v>#N/A</v>
      </c>
    </row>
    <row r="105" spans="3:29" x14ac:dyDescent="0.4">
      <c r="C105" s="31"/>
      <c r="D105" s="235"/>
      <c r="E105" s="31"/>
      <c r="F105" s="236"/>
      <c r="G105" s="237"/>
      <c r="J105" s="42"/>
      <c r="K105" s="15"/>
      <c r="Y105" s="348" t="e">
        <f t="shared" si="0"/>
        <v>#N/A</v>
      </c>
      <c r="Z105" s="349" t="e">
        <f t="shared" si="1"/>
        <v>#N/A</v>
      </c>
      <c r="AA105" s="46" t="e">
        <f>(VLOOKUP(E105,Table6[#All],4,0))/(VLOOKUP(E105,Table6[#All],6,0))*F105</f>
        <v>#N/A</v>
      </c>
      <c r="AB105" s="47" t="e">
        <f>(VLOOKUP(E105,Table6[#All],3,0))/(VLOOKUP(E105,Table6[#All],7,0))*F105</f>
        <v>#N/A</v>
      </c>
      <c r="AC105" t="e">
        <f t="shared" si="2"/>
        <v>#N/A</v>
      </c>
    </row>
    <row r="106" spans="3:29" x14ac:dyDescent="0.4">
      <c r="C106" s="31"/>
      <c r="D106" s="235"/>
      <c r="E106" s="31"/>
      <c r="F106" s="236"/>
      <c r="G106" s="237"/>
      <c r="J106" s="42"/>
      <c r="K106" s="15"/>
      <c r="Y106" s="348" t="e">
        <f t="shared" si="0"/>
        <v>#N/A</v>
      </c>
      <c r="Z106" s="349" t="e">
        <f t="shared" si="1"/>
        <v>#N/A</v>
      </c>
      <c r="AA106" s="46" t="e">
        <f>(VLOOKUP(E106,Table6[#All],4,0))/(VLOOKUP(E106,Table6[#All],6,0))*F106</f>
        <v>#N/A</v>
      </c>
      <c r="AB106" s="47" t="e">
        <f>(VLOOKUP(E106,Table6[#All],3,0))/(VLOOKUP(E106,Table6[#All],7,0))*F106</f>
        <v>#N/A</v>
      </c>
      <c r="AC106" t="e">
        <f t="shared" si="2"/>
        <v>#N/A</v>
      </c>
    </row>
    <row r="107" spans="3:29" x14ac:dyDescent="0.4">
      <c r="C107" s="31"/>
      <c r="D107" s="235"/>
      <c r="E107" s="31"/>
      <c r="F107" s="236"/>
      <c r="G107" s="237"/>
      <c r="J107" s="42"/>
      <c r="K107" s="15"/>
      <c r="Y107" s="348" t="e">
        <f t="shared" ref="Y107:Y138" si="3">(VLOOKUP(E107, $C$4:$J$70, 8, 0))/100*F107</f>
        <v>#N/A</v>
      </c>
      <c r="Z107" s="349" t="e">
        <f t="shared" ref="Z107:Z138" si="4">(VLOOKUP(E107,$C$4:$J$70,4,0))*(VLOOKUP(E107,$C$4:$J$70,5,0))*F107*100</f>
        <v>#N/A</v>
      </c>
      <c r="AA107" s="46" t="e">
        <f>(VLOOKUP(E107,Table6[#All],4,0))/(VLOOKUP(E107,Table6[#All],6,0))*F107</f>
        <v>#N/A</v>
      </c>
      <c r="AB107" s="47" t="e">
        <f>(VLOOKUP(E107,Table6[#All],3,0))/(VLOOKUP(E107,Table6[#All],7,0))*F107</f>
        <v>#N/A</v>
      </c>
      <c r="AC107" t="e">
        <f t="shared" ref="AC107:AC138" si="5">(VLOOKUP(E107,$C$4:$J$70,5,0))*F107</f>
        <v>#N/A</v>
      </c>
    </row>
    <row r="108" spans="3:29" x14ac:dyDescent="0.4">
      <c r="C108" s="31"/>
      <c r="D108" s="235"/>
      <c r="E108" s="31"/>
      <c r="F108" s="236"/>
      <c r="G108" s="237"/>
      <c r="J108" s="42"/>
      <c r="K108" s="15"/>
      <c r="Y108" s="348" t="e">
        <f t="shared" si="3"/>
        <v>#N/A</v>
      </c>
      <c r="Z108" s="349" t="e">
        <f t="shared" si="4"/>
        <v>#N/A</v>
      </c>
      <c r="AA108" s="46" t="e">
        <f>(VLOOKUP(E108,Table6[#All],4,0))/(VLOOKUP(E108,Table6[#All],6,0))*F108</f>
        <v>#N/A</v>
      </c>
      <c r="AB108" s="47" t="e">
        <f>(VLOOKUP(E108,Table6[#All],3,0))/(VLOOKUP(E108,Table6[#All],7,0))*F108</f>
        <v>#N/A</v>
      </c>
      <c r="AC108" t="e">
        <f t="shared" si="5"/>
        <v>#N/A</v>
      </c>
    </row>
    <row r="109" spans="3:29" x14ac:dyDescent="0.4">
      <c r="C109" s="31"/>
      <c r="D109" s="235"/>
      <c r="E109" s="31"/>
      <c r="F109" s="236"/>
      <c r="G109" s="237"/>
      <c r="J109" s="42"/>
      <c r="K109" s="15"/>
      <c r="Y109" s="348" t="e">
        <f t="shared" si="3"/>
        <v>#N/A</v>
      </c>
      <c r="Z109" s="349" t="e">
        <f t="shared" si="4"/>
        <v>#N/A</v>
      </c>
      <c r="AA109" s="46" t="e">
        <f>(VLOOKUP(E109,Table6[#All],4,0))/(VLOOKUP(E109,Table6[#All],6,0))*F109</f>
        <v>#N/A</v>
      </c>
      <c r="AB109" s="47" t="e">
        <f>(VLOOKUP(E109,Table6[#All],3,0))/(VLOOKUP(E109,Table6[#All],7,0))*F109</f>
        <v>#N/A</v>
      </c>
      <c r="AC109" t="e">
        <f t="shared" si="5"/>
        <v>#N/A</v>
      </c>
    </row>
    <row r="110" spans="3:29" x14ac:dyDescent="0.4">
      <c r="C110" s="31"/>
      <c r="D110" s="235"/>
      <c r="E110" s="31"/>
      <c r="F110" s="236"/>
      <c r="G110" s="237"/>
      <c r="J110" s="42"/>
      <c r="K110" s="15"/>
      <c r="Y110" s="348" t="e">
        <f t="shared" si="3"/>
        <v>#N/A</v>
      </c>
      <c r="Z110" s="349" t="e">
        <f t="shared" si="4"/>
        <v>#N/A</v>
      </c>
      <c r="AA110" s="46" t="e">
        <f>(VLOOKUP(E110,Table6[#All],4,0))/(VLOOKUP(E110,Table6[#All],6,0))*F110</f>
        <v>#N/A</v>
      </c>
      <c r="AB110" s="47" t="e">
        <f>(VLOOKUP(E110,Table6[#All],3,0))/(VLOOKUP(E110,Table6[#All],7,0))*F110</f>
        <v>#N/A</v>
      </c>
      <c r="AC110" t="e">
        <f t="shared" si="5"/>
        <v>#N/A</v>
      </c>
    </row>
    <row r="111" spans="3:29" x14ac:dyDescent="0.4">
      <c r="C111" s="31"/>
      <c r="D111" s="235"/>
      <c r="E111" s="31"/>
      <c r="F111" s="236"/>
      <c r="G111" s="237"/>
      <c r="J111" s="42"/>
      <c r="K111" s="15"/>
      <c r="Y111" s="348" t="e">
        <f t="shared" si="3"/>
        <v>#N/A</v>
      </c>
      <c r="Z111" s="349" t="e">
        <f t="shared" si="4"/>
        <v>#N/A</v>
      </c>
      <c r="AA111" s="46" t="e">
        <f>(VLOOKUP(E111,Table6[#All],4,0))/(VLOOKUP(E111,Table6[#All],6,0))*F111</f>
        <v>#N/A</v>
      </c>
      <c r="AB111" s="47" t="e">
        <f>(VLOOKUP(E111,Table6[#All],3,0))/(VLOOKUP(E111,Table6[#All],7,0))*F111</f>
        <v>#N/A</v>
      </c>
      <c r="AC111" t="e">
        <f t="shared" si="5"/>
        <v>#N/A</v>
      </c>
    </row>
    <row r="112" spans="3:29" x14ac:dyDescent="0.4">
      <c r="C112" s="31"/>
      <c r="D112" s="235"/>
      <c r="E112" s="31"/>
      <c r="F112" s="236"/>
      <c r="G112" s="237"/>
      <c r="J112" s="42"/>
      <c r="K112" s="15"/>
      <c r="Y112" s="348" t="e">
        <f t="shared" si="3"/>
        <v>#N/A</v>
      </c>
      <c r="Z112" s="349" t="e">
        <f t="shared" si="4"/>
        <v>#N/A</v>
      </c>
      <c r="AA112" s="46" t="e">
        <f>(VLOOKUP(E112,Table6[#All],4,0))/(VLOOKUP(E112,Table6[#All],6,0))*F112</f>
        <v>#N/A</v>
      </c>
      <c r="AB112" s="47" t="e">
        <f>(VLOOKUP(E112,Table6[#All],3,0))/(VLOOKUP(E112,Table6[#All],7,0))*F112</f>
        <v>#N/A</v>
      </c>
      <c r="AC112" t="e">
        <f t="shared" si="5"/>
        <v>#N/A</v>
      </c>
    </row>
    <row r="113" spans="3:29" x14ac:dyDescent="0.4">
      <c r="C113" s="31"/>
      <c r="D113" s="235"/>
      <c r="E113" s="31"/>
      <c r="F113" s="236"/>
      <c r="G113" s="237"/>
      <c r="J113" s="42"/>
      <c r="K113" s="15"/>
      <c r="Y113" s="348" t="e">
        <f t="shared" si="3"/>
        <v>#N/A</v>
      </c>
      <c r="Z113" s="349" t="e">
        <f t="shared" si="4"/>
        <v>#N/A</v>
      </c>
      <c r="AA113" s="46" t="e">
        <f>(VLOOKUP(E113,Table6[#All],4,0))/(VLOOKUP(E113,Table6[#All],6,0))*F113</f>
        <v>#N/A</v>
      </c>
      <c r="AB113" s="47" t="e">
        <f>(VLOOKUP(E113,Table6[#All],3,0))/(VLOOKUP(E113,Table6[#All],7,0))*F113</f>
        <v>#N/A</v>
      </c>
      <c r="AC113" t="e">
        <f t="shared" si="5"/>
        <v>#N/A</v>
      </c>
    </row>
    <row r="114" spans="3:29" x14ac:dyDescent="0.4">
      <c r="C114" s="31"/>
      <c r="D114" s="235"/>
      <c r="E114" s="31"/>
      <c r="F114" s="236"/>
      <c r="G114" s="237"/>
      <c r="J114" s="42"/>
      <c r="K114" s="15"/>
      <c r="Y114" s="348" t="e">
        <f t="shared" si="3"/>
        <v>#N/A</v>
      </c>
      <c r="Z114" s="349" t="e">
        <f t="shared" si="4"/>
        <v>#N/A</v>
      </c>
      <c r="AA114" s="46" t="e">
        <f>(VLOOKUP(E114,Table6[#All],4,0))/(VLOOKUP(E114,Table6[#All],6,0))*F114</f>
        <v>#N/A</v>
      </c>
      <c r="AB114" s="47" t="e">
        <f>(VLOOKUP(E114,Table6[#All],3,0))/(VLOOKUP(E114,Table6[#All],7,0))*F114</f>
        <v>#N/A</v>
      </c>
      <c r="AC114" t="e">
        <f t="shared" si="5"/>
        <v>#N/A</v>
      </c>
    </row>
    <row r="115" spans="3:29" x14ac:dyDescent="0.4">
      <c r="C115" s="31"/>
      <c r="D115" s="235"/>
      <c r="E115" s="31"/>
      <c r="F115" s="236"/>
      <c r="G115" s="237"/>
      <c r="J115" s="42"/>
      <c r="K115" s="15"/>
      <c r="Y115" s="348" t="e">
        <f t="shared" si="3"/>
        <v>#N/A</v>
      </c>
      <c r="Z115" s="349" t="e">
        <f t="shared" si="4"/>
        <v>#N/A</v>
      </c>
      <c r="AA115" s="46" t="e">
        <f>(VLOOKUP(E115,Table6[#All],4,0))/(VLOOKUP(E115,Table6[#All],6,0))*F115</f>
        <v>#N/A</v>
      </c>
      <c r="AB115" s="47" t="e">
        <f>(VLOOKUP(E115,Table6[#All],3,0))/(VLOOKUP(E115,Table6[#All],7,0))*F115</f>
        <v>#N/A</v>
      </c>
      <c r="AC115" t="e">
        <f t="shared" si="5"/>
        <v>#N/A</v>
      </c>
    </row>
    <row r="116" spans="3:29" x14ac:dyDescent="0.4">
      <c r="C116" s="31"/>
      <c r="D116" s="235"/>
      <c r="E116" s="31"/>
      <c r="F116" s="236"/>
      <c r="G116" s="237"/>
      <c r="J116" s="42"/>
      <c r="K116" s="15"/>
      <c r="Y116" s="348" t="e">
        <f t="shared" si="3"/>
        <v>#N/A</v>
      </c>
      <c r="Z116" s="349" t="e">
        <f t="shared" si="4"/>
        <v>#N/A</v>
      </c>
      <c r="AA116" s="46" t="e">
        <f>(VLOOKUP(E116,Table6[#All],4,0))/(VLOOKUP(E116,Table6[#All],6,0))*F116</f>
        <v>#N/A</v>
      </c>
      <c r="AB116" s="47" t="e">
        <f>(VLOOKUP(E116,Table6[#All],3,0))/(VLOOKUP(E116,Table6[#All],7,0))*F116</f>
        <v>#N/A</v>
      </c>
      <c r="AC116" t="e">
        <f t="shared" si="5"/>
        <v>#N/A</v>
      </c>
    </row>
    <row r="117" spans="3:29" x14ac:dyDescent="0.4">
      <c r="C117" s="31"/>
      <c r="D117" s="235"/>
      <c r="E117" s="31"/>
      <c r="F117" s="236"/>
      <c r="G117" s="237"/>
      <c r="J117" s="42"/>
      <c r="K117" s="15"/>
      <c r="Y117" s="348" t="e">
        <f t="shared" si="3"/>
        <v>#N/A</v>
      </c>
      <c r="Z117" s="349" t="e">
        <f t="shared" si="4"/>
        <v>#N/A</v>
      </c>
      <c r="AA117" s="46" t="e">
        <f>(VLOOKUP(E117,Table6[#All],4,0))/(VLOOKUP(E117,Table6[#All],6,0))*F117</f>
        <v>#N/A</v>
      </c>
      <c r="AB117" s="47" t="e">
        <f>(VLOOKUP(E117,Table6[#All],3,0))/(VLOOKUP(E117,Table6[#All],7,0))*F117</f>
        <v>#N/A</v>
      </c>
      <c r="AC117" t="e">
        <f t="shared" si="5"/>
        <v>#N/A</v>
      </c>
    </row>
    <row r="118" spans="3:29" x14ac:dyDescent="0.4">
      <c r="C118" s="31"/>
      <c r="D118" s="235"/>
      <c r="E118" s="31"/>
      <c r="F118" s="236"/>
      <c r="G118" s="237"/>
      <c r="J118" s="42"/>
      <c r="K118" s="15"/>
      <c r="Y118" s="348" t="e">
        <f t="shared" si="3"/>
        <v>#N/A</v>
      </c>
      <c r="Z118" s="349" t="e">
        <f t="shared" si="4"/>
        <v>#N/A</v>
      </c>
      <c r="AA118" s="46" t="e">
        <f>(VLOOKUP(E118,Table6[#All],4,0))/(VLOOKUP(E118,Table6[#All],6,0))*F118</f>
        <v>#N/A</v>
      </c>
      <c r="AB118" s="47" t="e">
        <f>(VLOOKUP(E118,Table6[#All],3,0))/(VLOOKUP(E118,Table6[#All],7,0))*F118</f>
        <v>#N/A</v>
      </c>
      <c r="AC118" t="e">
        <f t="shared" si="5"/>
        <v>#N/A</v>
      </c>
    </row>
    <row r="119" spans="3:29" x14ac:dyDescent="0.4">
      <c r="C119" s="31"/>
      <c r="D119" s="235"/>
      <c r="E119" s="31"/>
      <c r="F119" s="236"/>
      <c r="G119" s="237"/>
      <c r="J119" s="42"/>
      <c r="K119" s="15"/>
      <c r="Y119" s="348" t="e">
        <f t="shared" si="3"/>
        <v>#N/A</v>
      </c>
      <c r="Z119" s="349" t="e">
        <f t="shared" si="4"/>
        <v>#N/A</v>
      </c>
      <c r="AA119" s="46" t="e">
        <f>(VLOOKUP(E119,Table6[#All],4,0))/(VLOOKUP(E119,Table6[#All],6,0))*F119</f>
        <v>#N/A</v>
      </c>
      <c r="AB119" s="47" t="e">
        <f>(VLOOKUP(E119,Table6[#All],3,0))/(VLOOKUP(E119,Table6[#All],7,0))*F119</f>
        <v>#N/A</v>
      </c>
      <c r="AC119" t="e">
        <f t="shared" si="5"/>
        <v>#N/A</v>
      </c>
    </row>
    <row r="120" spans="3:29" x14ac:dyDescent="0.4">
      <c r="C120" s="31"/>
      <c r="D120" s="235"/>
      <c r="E120" s="31"/>
      <c r="F120" s="236"/>
      <c r="G120" s="237"/>
      <c r="J120" s="42"/>
      <c r="K120" s="15"/>
      <c r="Y120" s="348" t="e">
        <f t="shared" si="3"/>
        <v>#N/A</v>
      </c>
      <c r="Z120" s="349" t="e">
        <f t="shared" si="4"/>
        <v>#N/A</v>
      </c>
      <c r="AA120" s="46" t="e">
        <f>(VLOOKUP(E120,Table6[#All],4,0))/(VLOOKUP(E120,Table6[#All],6,0))*F120</f>
        <v>#N/A</v>
      </c>
      <c r="AB120" s="47" t="e">
        <f>(VLOOKUP(E120,Table6[#All],3,0))/(VLOOKUP(E120,Table6[#All],7,0))*F120</f>
        <v>#N/A</v>
      </c>
      <c r="AC120" t="e">
        <f t="shared" si="5"/>
        <v>#N/A</v>
      </c>
    </row>
    <row r="121" spans="3:29" x14ac:dyDescent="0.4">
      <c r="C121" s="31"/>
      <c r="D121" s="235"/>
      <c r="E121" s="31"/>
      <c r="F121" s="236"/>
      <c r="G121" s="237"/>
      <c r="J121" s="42"/>
      <c r="K121" s="15"/>
      <c r="Y121" s="348" t="e">
        <f t="shared" si="3"/>
        <v>#N/A</v>
      </c>
      <c r="Z121" s="349" t="e">
        <f t="shared" si="4"/>
        <v>#N/A</v>
      </c>
      <c r="AA121" s="46" t="e">
        <f>(VLOOKUP(E121,Table6[#All],4,0))/(VLOOKUP(E121,Table6[#All],6,0))*F121</f>
        <v>#N/A</v>
      </c>
      <c r="AB121" s="47" t="e">
        <f>(VLOOKUP(E121,Table6[#All],3,0))/(VLOOKUP(E121,Table6[#All],7,0))*F121</f>
        <v>#N/A</v>
      </c>
      <c r="AC121" t="e">
        <f t="shared" si="5"/>
        <v>#N/A</v>
      </c>
    </row>
    <row r="122" spans="3:29" x14ac:dyDescent="0.4">
      <c r="C122" s="31"/>
      <c r="D122" s="235"/>
      <c r="E122" s="31"/>
      <c r="F122" s="236"/>
      <c r="G122" s="237"/>
      <c r="J122" s="42"/>
      <c r="K122" s="15"/>
      <c r="Y122" s="348" t="e">
        <f t="shared" si="3"/>
        <v>#N/A</v>
      </c>
      <c r="Z122" s="349" t="e">
        <f t="shared" si="4"/>
        <v>#N/A</v>
      </c>
      <c r="AA122" s="46" t="e">
        <f>(VLOOKUP(E122,Table6[#All],4,0))/(VLOOKUP(E122,Table6[#All],6,0))*F122</f>
        <v>#N/A</v>
      </c>
      <c r="AB122" s="47" t="e">
        <f>(VLOOKUP(E122,Table6[#All],3,0))/(VLOOKUP(E122,Table6[#All],7,0))*F122</f>
        <v>#N/A</v>
      </c>
      <c r="AC122" t="e">
        <f t="shared" si="5"/>
        <v>#N/A</v>
      </c>
    </row>
    <row r="123" spans="3:29" x14ac:dyDescent="0.4">
      <c r="C123" s="31"/>
      <c r="D123" s="235"/>
      <c r="E123" s="31"/>
      <c r="F123" s="236"/>
      <c r="G123" s="237"/>
      <c r="J123" s="42"/>
      <c r="K123" s="15"/>
      <c r="Y123" s="348" t="e">
        <f t="shared" si="3"/>
        <v>#N/A</v>
      </c>
      <c r="Z123" s="349" t="e">
        <f t="shared" si="4"/>
        <v>#N/A</v>
      </c>
      <c r="AA123" s="46" t="e">
        <f>(VLOOKUP(E123,Table6[#All],4,0))/(VLOOKUP(E123,Table6[#All],6,0))*F123</f>
        <v>#N/A</v>
      </c>
      <c r="AB123" s="47" t="e">
        <f>(VLOOKUP(E123,Table6[#All],3,0))/(VLOOKUP(E123,Table6[#All],7,0))*F123</f>
        <v>#N/A</v>
      </c>
      <c r="AC123" t="e">
        <f t="shared" si="5"/>
        <v>#N/A</v>
      </c>
    </row>
    <row r="124" spans="3:29" x14ac:dyDescent="0.4">
      <c r="C124" s="31"/>
      <c r="D124" s="235"/>
      <c r="E124" s="31"/>
      <c r="F124" s="236"/>
      <c r="G124" s="237"/>
      <c r="J124" s="42"/>
      <c r="K124" s="15"/>
      <c r="Y124" s="348" t="e">
        <f t="shared" si="3"/>
        <v>#N/A</v>
      </c>
      <c r="Z124" s="349" t="e">
        <f t="shared" si="4"/>
        <v>#N/A</v>
      </c>
      <c r="AA124" s="46" t="e">
        <f>(VLOOKUP(E124,Table6[#All],4,0))/(VLOOKUP(E124,Table6[#All],6,0))*F124</f>
        <v>#N/A</v>
      </c>
      <c r="AB124" s="47" t="e">
        <f>(VLOOKUP(E124,Table6[#All],3,0))/(VLOOKUP(E124,Table6[#All],7,0))*F124</f>
        <v>#N/A</v>
      </c>
      <c r="AC124" t="e">
        <f t="shared" si="5"/>
        <v>#N/A</v>
      </c>
    </row>
    <row r="125" spans="3:29" x14ac:dyDescent="0.4">
      <c r="C125" s="31"/>
      <c r="D125" s="235"/>
      <c r="E125" s="31"/>
      <c r="F125" s="236"/>
      <c r="G125" s="237"/>
      <c r="J125" s="42"/>
      <c r="K125" s="15"/>
      <c r="Y125" s="348" t="e">
        <f t="shared" si="3"/>
        <v>#N/A</v>
      </c>
      <c r="Z125" s="349" t="e">
        <f t="shared" si="4"/>
        <v>#N/A</v>
      </c>
      <c r="AA125" s="46" t="e">
        <f>(VLOOKUP(E125,Table6[#All],4,0))/(VLOOKUP(E125,Table6[#All],6,0))*F125</f>
        <v>#N/A</v>
      </c>
      <c r="AB125" s="47" t="e">
        <f>(VLOOKUP(E125,Table6[#All],3,0))/(VLOOKUP(E125,Table6[#All],7,0))*F125</f>
        <v>#N/A</v>
      </c>
      <c r="AC125" t="e">
        <f t="shared" si="5"/>
        <v>#N/A</v>
      </c>
    </row>
    <row r="126" spans="3:29" x14ac:dyDescent="0.4">
      <c r="C126" s="31"/>
      <c r="D126" s="235"/>
      <c r="E126" s="31"/>
      <c r="F126" s="236"/>
      <c r="G126" s="237"/>
      <c r="J126" s="42"/>
      <c r="K126" s="15"/>
      <c r="Y126" s="348" t="e">
        <f t="shared" si="3"/>
        <v>#N/A</v>
      </c>
      <c r="Z126" s="349" t="e">
        <f t="shared" si="4"/>
        <v>#N/A</v>
      </c>
      <c r="AA126" s="46" t="e">
        <f>(VLOOKUP(E126,Table6[#All],4,0))/(VLOOKUP(E126,Table6[#All],6,0))*F126</f>
        <v>#N/A</v>
      </c>
      <c r="AB126" s="47" t="e">
        <f>(VLOOKUP(E126,Table6[#All],3,0))/(VLOOKUP(E126,Table6[#All],7,0))*F126</f>
        <v>#N/A</v>
      </c>
      <c r="AC126" t="e">
        <f t="shared" si="5"/>
        <v>#N/A</v>
      </c>
    </row>
    <row r="127" spans="3:29" x14ac:dyDescent="0.4">
      <c r="C127" s="31"/>
      <c r="D127" s="235"/>
      <c r="E127" s="31"/>
      <c r="F127" s="236"/>
      <c r="G127" s="237"/>
      <c r="J127" s="42"/>
      <c r="K127" s="15"/>
      <c r="Y127" s="348" t="e">
        <f t="shared" si="3"/>
        <v>#N/A</v>
      </c>
      <c r="Z127" s="349" t="e">
        <f t="shared" si="4"/>
        <v>#N/A</v>
      </c>
      <c r="AA127" s="46" t="e">
        <f>(VLOOKUP(E127,Table6[#All],4,0))/(VLOOKUP(E127,Table6[#All],6,0))*F127</f>
        <v>#N/A</v>
      </c>
      <c r="AB127" s="47" t="e">
        <f>(VLOOKUP(E127,Table6[#All],3,0))/(VLOOKUP(E127,Table6[#All],7,0))*F127</f>
        <v>#N/A</v>
      </c>
      <c r="AC127" t="e">
        <f t="shared" si="5"/>
        <v>#N/A</v>
      </c>
    </row>
    <row r="128" spans="3:29" x14ac:dyDescent="0.4">
      <c r="C128" s="31"/>
      <c r="D128" s="235"/>
      <c r="E128" s="31"/>
      <c r="F128" s="236"/>
      <c r="G128" s="237"/>
      <c r="J128" s="42"/>
      <c r="K128" s="15"/>
      <c r="Y128" s="348" t="e">
        <f t="shared" si="3"/>
        <v>#N/A</v>
      </c>
      <c r="Z128" s="349" t="e">
        <f t="shared" si="4"/>
        <v>#N/A</v>
      </c>
      <c r="AA128" s="46" t="e">
        <f>(VLOOKUP(E128,Table6[#All],4,0))/(VLOOKUP(E128,Table6[#All],6,0))*F128</f>
        <v>#N/A</v>
      </c>
      <c r="AB128" s="47" t="e">
        <f>(VLOOKUP(E128,Table6[#All],3,0))/(VLOOKUP(E128,Table6[#All],7,0))*F128</f>
        <v>#N/A</v>
      </c>
      <c r="AC128" t="e">
        <f t="shared" si="5"/>
        <v>#N/A</v>
      </c>
    </row>
    <row r="129" spans="3:29" x14ac:dyDescent="0.4">
      <c r="C129" s="31"/>
      <c r="D129" s="235"/>
      <c r="E129" s="31"/>
      <c r="F129" s="236"/>
      <c r="G129" s="237"/>
      <c r="J129" s="42"/>
      <c r="K129" s="15"/>
      <c r="Y129" s="348" t="e">
        <f t="shared" si="3"/>
        <v>#N/A</v>
      </c>
      <c r="Z129" s="349" t="e">
        <f t="shared" si="4"/>
        <v>#N/A</v>
      </c>
      <c r="AA129" s="46" t="e">
        <f>(VLOOKUP(E129,Table6[#All],4,0))/(VLOOKUP(E129,Table6[#All],6,0))*F129</f>
        <v>#N/A</v>
      </c>
      <c r="AB129" s="47" t="e">
        <f>(VLOOKUP(E129,Table6[#All],3,0))/(VLOOKUP(E129,Table6[#All],7,0))*F129</f>
        <v>#N/A</v>
      </c>
      <c r="AC129" t="e">
        <f t="shared" si="5"/>
        <v>#N/A</v>
      </c>
    </row>
    <row r="130" spans="3:29" x14ac:dyDescent="0.4">
      <c r="C130" s="31"/>
      <c r="D130" s="235"/>
      <c r="E130" s="31"/>
      <c r="F130" s="236"/>
      <c r="G130" s="237"/>
      <c r="J130" s="42"/>
      <c r="K130" s="15"/>
      <c r="Y130" s="348" t="e">
        <f t="shared" si="3"/>
        <v>#N/A</v>
      </c>
      <c r="Z130" s="349" t="e">
        <f t="shared" si="4"/>
        <v>#N/A</v>
      </c>
      <c r="AA130" s="46" t="e">
        <f>(VLOOKUP(E130,Table6[#All],4,0))/(VLOOKUP(E130,Table6[#All],6,0))*F130</f>
        <v>#N/A</v>
      </c>
      <c r="AB130" s="47" t="e">
        <f>(VLOOKUP(E130,Table6[#All],3,0))/(VLOOKUP(E130,Table6[#All],7,0))*F130</f>
        <v>#N/A</v>
      </c>
      <c r="AC130" t="e">
        <f t="shared" si="5"/>
        <v>#N/A</v>
      </c>
    </row>
    <row r="131" spans="3:29" x14ac:dyDescent="0.4">
      <c r="C131" s="31"/>
      <c r="D131" s="235"/>
      <c r="E131" s="31"/>
      <c r="F131" s="236"/>
      <c r="G131" s="237"/>
      <c r="J131" s="42"/>
      <c r="K131" s="15"/>
      <c r="Y131" s="348" t="e">
        <f t="shared" si="3"/>
        <v>#N/A</v>
      </c>
      <c r="Z131" s="349" t="e">
        <f t="shared" si="4"/>
        <v>#N/A</v>
      </c>
      <c r="AA131" s="46" t="e">
        <f>(VLOOKUP(E131,Table6[#All],4,0))/(VLOOKUP(E131,Table6[#All],6,0))*F131</f>
        <v>#N/A</v>
      </c>
      <c r="AB131" s="47" t="e">
        <f>(VLOOKUP(E131,Table6[#All],3,0))/(VLOOKUP(E131,Table6[#All],7,0))*F131</f>
        <v>#N/A</v>
      </c>
      <c r="AC131" t="e">
        <f t="shared" si="5"/>
        <v>#N/A</v>
      </c>
    </row>
    <row r="132" spans="3:29" x14ac:dyDescent="0.4">
      <c r="C132" s="31"/>
      <c r="D132" s="235"/>
      <c r="E132" s="31"/>
      <c r="F132" s="236"/>
      <c r="G132" s="237"/>
      <c r="J132" s="42"/>
      <c r="K132" s="15"/>
      <c r="Y132" s="348" t="e">
        <f t="shared" si="3"/>
        <v>#N/A</v>
      </c>
      <c r="Z132" s="349" t="e">
        <f t="shared" si="4"/>
        <v>#N/A</v>
      </c>
      <c r="AA132" s="46" t="e">
        <f>(VLOOKUP(E132,Table6[#All],4,0))/(VLOOKUP(E132,Table6[#All],6,0))*F132</f>
        <v>#N/A</v>
      </c>
      <c r="AB132" s="47" t="e">
        <f>(VLOOKUP(E132,Table6[#All],3,0))/(VLOOKUP(E132,Table6[#All],7,0))*F132</f>
        <v>#N/A</v>
      </c>
      <c r="AC132" t="e">
        <f t="shared" si="5"/>
        <v>#N/A</v>
      </c>
    </row>
    <row r="133" spans="3:29" x14ac:dyDescent="0.4">
      <c r="C133" s="31"/>
      <c r="D133" s="235"/>
      <c r="E133" s="31"/>
      <c r="F133" s="236"/>
      <c r="G133" s="237"/>
      <c r="J133" s="42"/>
      <c r="K133" s="15"/>
      <c r="Y133" s="348" t="e">
        <f t="shared" si="3"/>
        <v>#N/A</v>
      </c>
      <c r="Z133" s="349" t="e">
        <f t="shared" si="4"/>
        <v>#N/A</v>
      </c>
      <c r="AA133" s="46" t="e">
        <f>(VLOOKUP(E133,Table6[#All],4,0))/(VLOOKUP(E133,Table6[#All],6,0))*F133</f>
        <v>#N/A</v>
      </c>
      <c r="AB133" s="47" t="e">
        <f>(VLOOKUP(E133,Table6[#All],3,0))/(VLOOKUP(E133,Table6[#All],7,0))*F133</f>
        <v>#N/A</v>
      </c>
      <c r="AC133" t="e">
        <f t="shared" si="5"/>
        <v>#N/A</v>
      </c>
    </row>
    <row r="134" spans="3:29" x14ac:dyDescent="0.4">
      <c r="C134" s="31"/>
      <c r="D134" s="235"/>
      <c r="E134" s="31"/>
      <c r="F134" s="236"/>
      <c r="G134" s="237"/>
      <c r="J134" s="42"/>
      <c r="K134" s="15"/>
      <c r="Y134" s="348" t="e">
        <f t="shared" si="3"/>
        <v>#N/A</v>
      </c>
      <c r="Z134" s="349" t="e">
        <f t="shared" si="4"/>
        <v>#N/A</v>
      </c>
      <c r="AA134" s="46" t="e">
        <f>(VLOOKUP(E134,Table6[#All],4,0))/(VLOOKUP(E134,Table6[#All],6,0))*F134</f>
        <v>#N/A</v>
      </c>
      <c r="AB134" s="47" t="e">
        <f>(VLOOKUP(E134,Table6[#All],3,0))/(VLOOKUP(E134,Table6[#All],7,0))*F134</f>
        <v>#N/A</v>
      </c>
      <c r="AC134" t="e">
        <f t="shared" si="5"/>
        <v>#N/A</v>
      </c>
    </row>
    <row r="135" spans="3:29" x14ac:dyDescent="0.4">
      <c r="C135" s="31"/>
      <c r="D135" s="235"/>
      <c r="E135" s="31"/>
      <c r="F135" s="236"/>
      <c r="G135" s="237"/>
      <c r="J135" s="42"/>
      <c r="K135" s="15"/>
      <c r="Y135" s="348" t="e">
        <f t="shared" si="3"/>
        <v>#N/A</v>
      </c>
      <c r="Z135" s="349" t="e">
        <f t="shared" si="4"/>
        <v>#N/A</v>
      </c>
      <c r="AA135" s="46" t="e">
        <f>(VLOOKUP(E135,Table6[#All],4,0))/(VLOOKUP(E135,Table6[#All],6,0))*F135</f>
        <v>#N/A</v>
      </c>
      <c r="AB135" s="47" t="e">
        <f>(VLOOKUP(E135,Table6[#All],3,0))/(VLOOKUP(E135,Table6[#All],7,0))*F135</f>
        <v>#N/A</v>
      </c>
      <c r="AC135" t="e">
        <f t="shared" si="5"/>
        <v>#N/A</v>
      </c>
    </row>
    <row r="136" spans="3:29" x14ac:dyDescent="0.4">
      <c r="C136" s="31"/>
      <c r="D136" s="235"/>
      <c r="E136" s="31"/>
      <c r="F136" s="236"/>
      <c r="G136" s="237"/>
      <c r="J136" s="42"/>
      <c r="K136" s="15"/>
      <c r="Y136" s="348" t="e">
        <f t="shared" si="3"/>
        <v>#N/A</v>
      </c>
      <c r="Z136" s="349" t="e">
        <f t="shared" si="4"/>
        <v>#N/A</v>
      </c>
      <c r="AA136" s="46" t="e">
        <f>(VLOOKUP(E136,Table6[#All],4,0))/(VLOOKUP(E136,Table6[#All],6,0))*F136</f>
        <v>#N/A</v>
      </c>
      <c r="AB136" s="47" t="e">
        <f>(VLOOKUP(E136,Table6[#All],3,0))/(VLOOKUP(E136,Table6[#All],7,0))*F136</f>
        <v>#N/A</v>
      </c>
      <c r="AC136" t="e">
        <f t="shared" si="5"/>
        <v>#N/A</v>
      </c>
    </row>
    <row r="137" spans="3:29" x14ac:dyDescent="0.4">
      <c r="C137" s="31"/>
      <c r="D137" s="235"/>
      <c r="E137" s="31"/>
      <c r="F137" s="236"/>
      <c r="G137" s="237"/>
      <c r="J137" s="42"/>
      <c r="K137" s="15"/>
      <c r="Y137" s="348" t="e">
        <f t="shared" si="3"/>
        <v>#N/A</v>
      </c>
      <c r="Z137" s="349" t="e">
        <f t="shared" si="4"/>
        <v>#N/A</v>
      </c>
      <c r="AA137" s="46" t="e">
        <f>(VLOOKUP(E137,Table6[#All],4,0))/(VLOOKUP(E137,Table6[#All],6,0))*F137</f>
        <v>#N/A</v>
      </c>
      <c r="AB137" s="47" t="e">
        <f>(VLOOKUP(E137,Table6[#All],3,0))/(VLOOKUP(E137,Table6[#All],7,0))*F137</f>
        <v>#N/A</v>
      </c>
      <c r="AC137" t="e">
        <f t="shared" si="5"/>
        <v>#N/A</v>
      </c>
    </row>
    <row r="138" spans="3:29" x14ac:dyDescent="0.4">
      <c r="C138" s="31"/>
      <c r="D138" s="235"/>
      <c r="E138" s="31"/>
      <c r="F138" s="236"/>
      <c r="G138" s="237"/>
      <c r="J138" s="42"/>
      <c r="K138" s="15"/>
      <c r="Y138" s="348" t="e">
        <f t="shared" si="3"/>
        <v>#N/A</v>
      </c>
      <c r="Z138" s="349" t="e">
        <f t="shared" si="4"/>
        <v>#N/A</v>
      </c>
      <c r="AA138" s="46" t="e">
        <f>(VLOOKUP(E138,Table6[#All],4,0))/(VLOOKUP(E138,Table6[#All],6,0))*F138</f>
        <v>#N/A</v>
      </c>
      <c r="AB138" s="47" t="e">
        <f>(VLOOKUP(E138,Table6[#All],3,0))/(VLOOKUP(E138,Table6[#All],7,0))*F138</f>
        <v>#N/A</v>
      </c>
      <c r="AC138" t="e">
        <f t="shared" si="5"/>
        <v>#N/A</v>
      </c>
    </row>
    <row r="139" spans="3:29" x14ac:dyDescent="0.4">
      <c r="C139" s="31"/>
      <c r="D139" s="235"/>
      <c r="E139" s="31"/>
      <c r="F139" s="236"/>
      <c r="G139" s="237"/>
      <c r="J139" s="42"/>
      <c r="K139" s="15"/>
      <c r="Y139" s="348" t="e">
        <f t="shared" ref="Y139:Y170" si="6">(VLOOKUP(E139, $C$4:$J$70, 8, 0))/100*F139</f>
        <v>#N/A</v>
      </c>
      <c r="Z139" s="349" t="e">
        <f t="shared" ref="Z139:Z170" si="7">(VLOOKUP(E139,$C$4:$J$70,4,0))*(VLOOKUP(E139,$C$4:$J$70,5,0))*F139*100</f>
        <v>#N/A</v>
      </c>
      <c r="AA139" s="46" t="e">
        <f>(VLOOKUP(E139,Table6[#All],4,0))/(VLOOKUP(E139,Table6[#All],6,0))*F139</f>
        <v>#N/A</v>
      </c>
      <c r="AB139" s="47" t="e">
        <f>(VLOOKUP(E139,Table6[#All],3,0))/(VLOOKUP(E139,Table6[#All],7,0))*F139</f>
        <v>#N/A</v>
      </c>
      <c r="AC139" t="e">
        <f t="shared" ref="AC139:AC170" si="8">(VLOOKUP(E139,$C$4:$J$70,5,0))*F139</f>
        <v>#N/A</v>
      </c>
    </row>
    <row r="140" spans="3:29" x14ac:dyDescent="0.4">
      <c r="C140" s="31"/>
      <c r="D140" s="235"/>
      <c r="E140" s="31"/>
      <c r="F140" s="236"/>
      <c r="G140" s="237"/>
      <c r="J140" s="42"/>
      <c r="K140" s="15"/>
      <c r="Y140" s="348" t="e">
        <f t="shared" si="6"/>
        <v>#N/A</v>
      </c>
      <c r="Z140" s="349" t="e">
        <f t="shared" si="7"/>
        <v>#N/A</v>
      </c>
      <c r="AA140" s="46" t="e">
        <f>(VLOOKUP(E140,Table6[#All],4,0))/(VLOOKUP(E140,Table6[#All],6,0))*F140</f>
        <v>#N/A</v>
      </c>
      <c r="AB140" s="47" t="e">
        <f>(VLOOKUP(E140,Table6[#All],3,0))/(VLOOKUP(E140,Table6[#All],7,0))*F140</f>
        <v>#N/A</v>
      </c>
      <c r="AC140" t="e">
        <f t="shared" si="8"/>
        <v>#N/A</v>
      </c>
    </row>
    <row r="141" spans="3:29" x14ac:dyDescent="0.4">
      <c r="C141" s="31"/>
      <c r="D141" s="235"/>
      <c r="E141" s="31"/>
      <c r="F141" s="236"/>
      <c r="G141" s="237"/>
      <c r="J141" s="42"/>
      <c r="K141" s="15"/>
      <c r="Y141" s="348" t="e">
        <f t="shared" si="6"/>
        <v>#N/A</v>
      </c>
      <c r="Z141" s="349" t="e">
        <f t="shared" si="7"/>
        <v>#N/A</v>
      </c>
      <c r="AA141" s="46" t="e">
        <f>(VLOOKUP(E141,Table6[#All],4,0))/(VLOOKUP(E141,Table6[#All],6,0))*F141</f>
        <v>#N/A</v>
      </c>
      <c r="AB141" s="47" t="e">
        <f>(VLOOKUP(E141,Table6[#All],3,0))/(VLOOKUP(E141,Table6[#All],7,0))*F141</f>
        <v>#N/A</v>
      </c>
      <c r="AC141" t="e">
        <f t="shared" si="8"/>
        <v>#N/A</v>
      </c>
    </row>
    <row r="142" spans="3:29" x14ac:dyDescent="0.4">
      <c r="C142" s="31"/>
      <c r="D142" s="235"/>
      <c r="E142" s="31"/>
      <c r="F142" s="236"/>
      <c r="G142" s="237"/>
      <c r="J142" s="42"/>
      <c r="K142" s="15"/>
      <c r="Y142" s="348" t="e">
        <f t="shared" si="6"/>
        <v>#N/A</v>
      </c>
      <c r="Z142" s="349" t="e">
        <f t="shared" si="7"/>
        <v>#N/A</v>
      </c>
      <c r="AA142" s="46" t="e">
        <f>(VLOOKUP(E142,Table6[#All],4,0))/(VLOOKUP(E142,Table6[#All],6,0))*F142</f>
        <v>#N/A</v>
      </c>
      <c r="AB142" s="47" t="e">
        <f>(VLOOKUP(E142,Table6[#All],3,0))/(VLOOKUP(E142,Table6[#All],7,0))*F142</f>
        <v>#N/A</v>
      </c>
      <c r="AC142" t="e">
        <f t="shared" si="8"/>
        <v>#N/A</v>
      </c>
    </row>
    <row r="143" spans="3:29" x14ac:dyDescent="0.4">
      <c r="C143" s="31"/>
      <c r="D143" s="235"/>
      <c r="E143" s="31"/>
      <c r="F143" s="236"/>
      <c r="G143" s="237"/>
      <c r="J143" s="42"/>
      <c r="K143" s="15"/>
      <c r="Y143" s="348" t="e">
        <f t="shared" si="6"/>
        <v>#N/A</v>
      </c>
      <c r="Z143" s="349" t="e">
        <f t="shared" si="7"/>
        <v>#N/A</v>
      </c>
      <c r="AA143" s="46" t="e">
        <f>(VLOOKUP(E143,Table6[#All],4,0))/(VLOOKUP(E143,Table6[#All],6,0))*F143</f>
        <v>#N/A</v>
      </c>
      <c r="AB143" s="47" t="e">
        <f>(VLOOKUP(E143,Table6[#All],3,0))/(VLOOKUP(E143,Table6[#All],7,0))*F143</f>
        <v>#N/A</v>
      </c>
      <c r="AC143" t="e">
        <f t="shared" si="8"/>
        <v>#N/A</v>
      </c>
    </row>
    <row r="144" spans="3:29" x14ac:dyDescent="0.4">
      <c r="C144" s="31"/>
      <c r="D144" s="235"/>
      <c r="E144" s="31"/>
      <c r="F144" s="236"/>
      <c r="G144" s="237"/>
      <c r="J144" s="42"/>
      <c r="K144" s="15"/>
      <c r="Y144" s="348" t="e">
        <f t="shared" si="6"/>
        <v>#N/A</v>
      </c>
      <c r="Z144" s="349" t="e">
        <f t="shared" si="7"/>
        <v>#N/A</v>
      </c>
      <c r="AA144" s="46" t="e">
        <f>(VLOOKUP(E144,Table6[#All],4,0))/(VLOOKUP(E144,Table6[#All],6,0))*F144</f>
        <v>#N/A</v>
      </c>
      <c r="AB144" s="47" t="e">
        <f>(VLOOKUP(E144,Table6[#All],3,0))/(VLOOKUP(E144,Table6[#All],7,0))*F144</f>
        <v>#N/A</v>
      </c>
      <c r="AC144" t="e">
        <f t="shared" si="8"/>
        <v>#N/A</v>
      </c>
    </row>
    <row r="145" spans="3:29" x14ac:dyDescent="0.4">
      <c r="C145" s="31"/>
      <c r="D145" s="235"/>
      <c r="E145" s="31"/>
      <c r="F145" s="236"/>
      <c r="G145" s="237"/>
      <c r="J145" s="42"/>
      <c r="K145" s="15"/>
      <c r="Y145" s="348" t="e">
        <f t="shared" si="6"/>
        <v>#N/A</v>
      </c>
      <c r="Z145" s="349" t="e">
        <f t="shared" si="7"/>
        <v>#N/A</v>
      </c>
      <c r="AA145" s="46" t="e">
        <f>(VLOOKUP(E145,Table6[#All],4,0))/(VLOOKUP(E145,Table6[#All],6,0))*F145</f>
        <v>#N/A</v>
      </c>
      <c r="AB145" s="47" t="e">
        <f>(VLOOKUP(E145,Table6[#All],3,0))/(VLOOKUP(E145,Table6[#All],7,0))*F145</f>
        <v>#N/A</v>
      </c>
      <c r="AC145" t="e">
        <f t="shared" si="8"/>
        <v>#N/A</v>
      </c>
    </row>
    <row r="146" spans="3:29" x14ac:dyDescent="0.4">
      <c r="C146" s="31"/>
      <c r="D146" s="235"/>
      <c r="E146" s="31"/>
      <c r="F146" s="236"/>
      <c r="G146" s="237"/>
      <c r="J146" s="42"/>
      <c r="K146" s="15"/>
      <c r="Y146" s="348" t="e">
        <f t="shared" si="6"/>
        <v>#N/A</v>
      </c>
      <c r="Z146" s="349" t="e">
        <f t="shared" si="7"/>
        <v>#N/A</v>
      </c>
      <c r="AA146" s="46" t="e">
        <f>(VLOOKUP(E146,Table6[#All],4,0))/(VLOOKUP(E146,Table6[#All],6,0))*F146</f>
        <v>#N/A</v>
      </c>
      <c r="AB146" s="47" t="e">
        <f>(VLOOKUP(E146,Table6[#All],3,0))/(VLOOKUP(E146,Table6[#All],7,0))*F146</f>
        <v>#N/A</v>
      </c>
      <c r="AC146" t="e">
        <f t="shared" si="8"/>
        <v>#N/A</v>
      </c>
    </row>
    <row r="147" spans="3:29" x14ac:dyDescent="0.4">
      <c r="C147" s="31"/>
      <c r="D147" s="235"/>
      <c r="E147" s="31"/>
      <c r="F147" s="236"/>
      <c r="G147" s="237"/>
      <c r="J147" s="42"/>
      <c r="K147" s="15"/>
      <c r="Y147" s="348" t="e">
        <f t="shared" si="6"/>
        <v>#N/A</v>
      </c>
      <c r="Z147" s="349" t="e">
        <f t="shared" si="7"/>
        <v>#N/A</v>
      </c>
      <c r="AA147" s="46" t="e">
        <f>(VLOOKUP(E147,Table6[#All],4,0))/(VLOOKUP(E147,Table6[#All],6,0))*F147</f>
        <v>#N/A</v>
      </c>
      <c r="AB147" s="47" t="e">
        <f>(VLOOKUP(E147,Table6[#All],3,0))/(VLOOKUP(E147,Table6[#All],7,0))*F147</f>
        <v>#N/A</v>
      </c>
      <c r="AC147" t="e">
        <f t="shared" si="8"/>
        <v>#N/A</v>
      </c>
    </row>
    <row r="148" spans="3:29" x14ac:dyDescent="0.4">
      <c r="C148" s="31"/>
      <c r="D148" s="235"/>
      <c r="E148" s="31"/>
      <c r="F148" s="236"/>
      <c r="G148" s="237"/>
      <c r="J148" s="42"/>
      <c r="K148" s="15"/>
      <c r="Y148" s="348" t="e">
        <f t="shared" si="6"/>
        <v>#N/A</v>
      </c>
      <c r="Z148" s="349" t="e">
        <f t="shared" si="7"/>
        <v>#N/A</v>
      </c>
      <c r="AA148" s="46" t="e">
        <f>(VLOOKUP(E148,Table6[#All],4,0))/(VLOOKUP(E148,Table6[#All],6,0))*F148</f>
        <v>#N/A</v>
      </c>
      <c r="AB148" s="47" t="e">
        <f>(VLOOKUP(E148,Table6[#All],3,0))/(VLOOKUP(E148,Table6[#All],7,0))*F148</f>
        <v>#N/A</v>
      </c>
      <c r="AC148" t="e">
        <f t="shared" si="8"/>
        <v>#N/A</v>
      </c>
    </row>
    <row r="149" spans="3:29" x14ac:dyDescent="0.4">
      <c r="C149" s="31"/>
      <c r="D149" s="235"/>
      <c r="E149" s="31"/>
      <c r="F149" s="236"/>
      <c r="G149" s="237"/>
      <c r="J149" s="42"/>
      <c r="K149" s="15"/>
      <c r="Y149" s="348" t="e">
        <f t="shared" si="6"/>
        <v>#N/A</v>
      </c>
      <c r="Z149" s="349" t="e">
        <f t="shared" si="7"/>
        <v>#N/A</v>
      </c>
      <c r="AA149" s="46" t="e">
        <f>(VLOOKUP(E149,Table6[#All],4,0))/(VLOOKUP(E149,Table6[#All],6,0))*F149</f>
        <v>#N/A</v>
      </c>
      <c r="AB149" s="47" t="e">
        <f>(VLOOKUP(E149,Table6[#All],3,0))/(VLOOKUP(E149,Table6[#All],7,0))*F149</f>
        <v>#N/A</v>
      </c>
      <c r="AC149" t="e">
        <f t="shared" si="8"/>
        <v>#N/A</v>
      </c>
    </row>
    <row r="150" spans="3:29" x14ac:dyDescent="0.4">
      <c r="C150" s="31"/>
      <c r="D150" s="235"/>
      <c r="E150" s="31"/>
      <c r="F150" s="236"/>
      <c r="G150" s="237"/>
      <c r="J150" s="42"/>
      <c r="K150" s="15"/>
      <c r="Y150" s="348" t="e">
        <f t="shared" si="6"/>
        <v>#N/A</v>
      </c>
      <c r="Z150" s="349" t="e">
        <f t="shared" si="7"/>
        <v>#N/A</v>
      </c>
      <c r="AA150" s="46" t="e">
        <f>(VLOOKUP(E150,Table6[#All],4,0))/(VLOOKUP(E150,Table6[#All],6,0))*F150</f>
        <v>#N/A</v>
      </c>
      <c r="AB150" s="47" t="e">
        <f>(VLOOKUP(E150,Table6[#All],3,0))/(VLOOKUP(E150,Table6[#All],7,0))*F150</f>
        <v>#N/A</v>
      </c>
      <c r="AC150" t="e">
        <f t="shared" si="8"/>
        <v>#N/A</v>
      </c>
    </row>
    <row r="151" spans="3:29" x14ac:dyDescent="0.4">
      <c r="C151" s="31"/>
      <c r="D151" s="235"/>
      <c r="E151" s="31"/>
      <c r="F151" s="236"/>
      <c r="G151" s="237"/>
      <c r="J151" s="42"/>
      <c r="K151" s="15"/>
      <c r="Y151" s="348" t="e">
        <f t="shared" si="6"/>
        <v>#N/A</v>
      </c>
      <c r="Z151" s="349" t="e">
        <f t="shared" si="7"/>
        <v>#N/A</v>
      </c>
      <c r="AA151" s="46" t="e">
        <f>(VLOOKUP(E151,Table6[#All],4,0))/(VLOOKUP(E151,Table6[#All],6,0))*F151</f>
        <v>#N/A</v>
      </c>
      <c r="AB151" s="47" t="e">
        <f>(VLOOKUP(E151,Table6[#All],3,0))/(VLOOKUP(E151,Table6[#All],7,0))*F151</f>
        <v>#N/A</v>
      </c>
      <c r="AC151" t="e">
        <f t="shared" si="8"/>
        <v>#N/A</v>
      </c>
    </row>
    <row r="152" spans="3:29" x14ac:dyDescent="0.4">
      <c r="C152" s="31"/>
      <c r="D152" s="235"/>
      <c r="E152" s="31"/>
      <c r="F152" s="236"/>
      <c r="G152" s="237"/>
      <c r="J152" s="42"/>
      <c r="K152" s="15"/>
      <c r="Y152" s="348" t="e">
        <f t="shared" si="6"/>
        <v>#N/A</v>
      </c>
      <c r="Z152" s="349" t="e">
        <f t="shared" si="7"/>
        <v>#N/A</v>
      </c>
      <c r="AA152" s="46" t="e">
        <f>(VLOOKUP(E152,Table6[#All],4,0))/(VLOOKUP(E152,Table6[#All],6,0))*F152</f>
        <v>#N/A</v>
      </c>
      <c r="AB152" s="47" t="e">
        <f>(VLOOKUP(E152,Table6[#All],3,0))/(VLOOKUP(E152,Table6[#All],7,0))*F152</f>
        <v>#N/A</v>
      </c>
      <c r="AC152" t="e">
        <f t="shared" si="8"/>
        <v>#N/A</v>
      </c>
    </row>
    <row r="153" spans="3:29" x14ac:dyDescent="0.4">
      <c r="C153" s="31"/>
      <c r="D153" s="235"/>
      <c r="E153" s="31"/>
      <c r="F153" s="236"/>
      <c r="G153" s="237"/>
      <c r="J153" s="42"/>
      <c r="K153" s="15"/>
      <c r="Y153" s="348" t="e">
        <f t="shared" si="6"/>
        <v>#N/A</v>
      </c>
      <c r="Z153" s="349" t="e">
        <f t="shared" si="7"/>
        <v>#N/A</v>
      </c>
      <c r="AA153" s="46" t="e">
        <f>(VLOOKUP(E153,Table6[#All],4,0))/(VLOOKUP(E153,Table6[#All],6,0))*F153</f>
        <v>#N/A</v>
      </c>
      <c r="AB153" s="47" t="e">
        <f>(VLOOKUP(E153,Table6[#All],3,0))/(VLOOKUP(E153,Table6[#All],7,0))*F153</f>
        <v>#N/A</v>
      </c>
      <c r="AC153" t="e">
        <f t="shared" si="8"/>
        <v>#N/A</v>
      </c>
    </row>
    <row r="154" spans="3:29" x14ac:dyDescent="0.4">
      <c r="C154" s="31"/>
      <c r="D154" s="235"/>
      <c r="E154" s="31"/>
      <c r="F154" s="236"/>
      <c r="G154" s="237"/>
      <c r="J154" s="42"/>
      <c r="K154" s="15"/>
      <c r="Y154" s="348" t="e">
        <f t="shared" si="6"/>
        <v>#N/A</v>
      </c>
      <c r="Z154" s="349" t="e">
        <f t="shared" si="7"/>
        <v>#N/A</v>
      </c>
      <c r="AA154" s="46" t="e">
        <f>(VLOOKUP(E154,Table6[#All],4,0))/(VLOOKUP(E154,Table6[#All],6,0))*F154</f>
        <v>#N/A</v>
      </c>
      <c r="AB154" s="47" t="e">
        <f>(VLOOKUP(E154,Table6[#All],3,0))/(VLOOKUP(E154,Table6[#All],7,0))*F154</f>
        <v>#N/A</v>
      </c>
      <c r="AC154" t="e">
        <f t="shared" si="8"/>
        <v>#N/A</v>
      </c>
    </row>
    <row r="155" spans="3:29" x14ac:dyDescent="0.4">
      <c r="C155" s="31"/>
      <c r="D155" s="235"/>
      <c r="E155" s="31"/>
      <c r="F155" s="236"/>
      <c r="G155" s="237"/>
      <c r="J155" s="42"/>
      <c r="K155" s="15"/>
      <c r="Y155" s="348" t="e">
        <f t="shared" si="6"/>
        <v>#N/A</v>
      </c>
      <c r="Z155" s="349" t="e">
        <f t="shared" si="7"/>
        <v>#N/A</v>
      </c>
      <c r="AA155" s="46" t="e">
        <f>(VLOOKUP(E155,Table6[#All],4,0))/(VLOOKUP(E155,Table6[#All],6,0))*F155</f>
        <v>#N/A</v>
      </c>
      <c r="AB155" s="47" t="e">
        <f>(VLOOKUP(E155,Table6[#All],3,0))/(VLOOKUP(E155,Table6[#All],7,0))*F155</f>
        <v>#N/A</v>
      </c>
      <c r="AC155" t="e">
        <f t="shared" si="8"/>
        <v>#N/A</v>
      </c>
    </row>
    <row r="156" spans="3:29" x14ac:dyDescent="0.4">
      <c r="C156" s="31"/>
      <c r="D156" s="235"/>
      <c r="E156" s="31"/>
      <c r="F156" s="236"/>
      <c r="G156" s="237"/>
      <c r="J156" s="42"/>
      <c r="K156" s="15"/>
      <c r="Y156" s="348" t="e">
        <f t="shared" si="6"/>
        <v>#N/A</v>
      </c>
      <c r="Z156" s="349" t="e">
        <f t="shared" si="7"/>
        <v>#N/A</v>
      </c>
      <c r="AA156" s="46" t="e">
        <f>(VLOOKUP(E156,Table6[#All],4,0))/(VLOOKUP(E156,Table6[#All],6,0))*F156</f>
        <v>#N/A</v>
      </c>
      <c r="AB156" s="47" t="e">
        <f>(VLOOKUP(E156,Table6[#All],3,0))/(VLOOKUP(E156,Table6[#All],7,0))*F156</f>
        <v>#N/A</v>
      </c>
      <c r="AC156" t="e">
        <f t="shared" si="8"/>
        <v>#N/A</v>
      </c>
    </row>
    <row r="157" spans="3:29" x14ac:dyDescent="0.4">
      <c r="C157" s="31"/>
      <c r="D157" s="235"/>
      <c r="E157" s="31"/>
      <c r="F157" s="236"/>
      <c r="G157" s="237"/>
      <c r="J157" s="42"/>
      <c r="K157" s="15"/>
      <c r="Y157" s="348" t="e">
        <f t="shared" si="6"/>
        <v>#N/A</v>
      </c>
      <c r="Z157" s="349" t="e">
        <f t="shared" si="7"/>
        <v>#N/A</v>
      </c>
      <c r="AA157" s="46" t="e">
        <f>(VLOOKUP(E157,Table6[#All],4,0))/(VLOOKUP(E157,Table6[#All],6,0))*F157</f>
        <v>#N/A</v>
      </c>
      <c r="AB157" s="47" t="e">
        <f>(VLOOKUP(E157,Table6[#All],3,0))/(VLOOKUP(E157,Table6[#All],7,0))*F157</f>
        <v>#N/A</v>
      </c>
      <c r="AC157" t="e">
        <f t="shared" si="8"/>
        <v>#N/A</v>
      </c>
    </row>
    <row r="158" spans="3:29" x14ac:dyDescent="0.4">
      <c r="C158" s="31"/>
      <c r="D158" s="235"/>
      <c r="E158" s="31"/>
      <c r="F158" s="236"/>
      <c r="G158" s="237"/>
      <c r="J158" s="42"/>
      <c r="K158" s="15"/>
      <c r="Y158" s="348" t="e">
        <f t="shared" si="6"/>
        <v>#N/A</v>
      </c>
      <c r="Z158" s="349" t="e">
        <f t="shared" si="7"/>
        <v>#N/A</v>
      </c>
      <c r="AA158" s="46" t="e">
        <f>(VLOOKUP(E158,Table6[#All],4,0))/(VLOOKUP(E158,Table6[#All],6,0))*F158</f>
        <v>#N/A</v>
      </c>
      <c r="AB158" s="47" t="e">
        <f>(VLOOKUP(E158,Table6[#All],3,0))/(VLOOKUP(E158,Table6[#All],7,0))*F158</f>
        <v>#N/A</v>
      </c>
      <c r="AC158" t="e">
        <f t="shared" si="8"/>
        <v>#N/A</v>
      </c>
    </row>
    <row r="159" spans="3:29" x14ac:dyDescent="0.4">
      <c r="C159" s="31"/>
      <c r="D159" s="235"/>
      <c r="E159" s="31"/>
      <c r="F159" s="236"/>
      <c r="G159" s="237"/>
      <c r="J159" s="42"/>
      <c r="K159" s="15"/>
      <c r="Y159" s="348" t="e">
        <f t="shared" si="6"/>
        <v>#N/A</v>
      </c>
      <c r="Z159" s="349" t="e">
        <f t="shared" si="7"/>
        <v>#N/A</v>
      </c>
      <c r="AA159" s="46" t="e">
        <f>(VLOOKUP(E159,Table6[#All],4,0))/(VLOOKUP(E159,Table6[#All],6,0))*F159</f>
        <v>#N/A</v>
      </c>
      <c r="AB159" s="47" t="e">
        <f>(VLOOKUP(E159,Table6[#All],3,0))/(VLOOKUP(E159,Table6[#All],7,0))*F159</f>
        <v>#N/A</v>
      </c>
      <c r="AC159" t="e">
        <f t="shared" si="8"/>
        <v>#N/A</v>
      </c>
    </row>
    <row r="160" spans="3:29" x14ac:dyDescent="0.4">
      <c r="C160" s="31"/>
      <c r="D160" s="235"/>
      <c r="E160" s="31"/>
      <c r="F160" s="236"/>
      <c r="G160" s="237"/>
      <c r="J160" s="42"/>
      <c r="K160" s="15"/>
      <c r="Y160" s="348" t="e">
        <f t="shared" si="6"/>
        <v>#N/A</v>
      </c>
      <c r="Z160" s="349" t="e">
        <f t="shared" si="7"/>
        <v>#N/A</v>
      </c>
      <c r="AA160" s="46" t="e">
        <f>(VLOOKUP(E160,Table6[#All],4,0))/(VLOOKUP(E160,Table6[#All],6,0))*F160</f>
        <v>#N/A</v>
      </c>
      <c r="AB160" s="47" t="e">
        <f>(VLOOKUP(E160,Table6[#All],3,0))/(VLOOKUP(E160,Table6[#All],7,0))*F160</f>
        <v>#N/A</v>
      </c>
      <c r="AC160" t="e">
        <f t="shared" si="8"/>
        <v>#N/A</v>
      </c>
    </row>
    <row r="161" spans="3:29" x14ac:dyDescent="0.4">
      <c r="C161" s="31"/>
      <c r="D161" s="235"/>
      <c r="E161" s="31"/>
      <c r="F161" s="236"/>
      <c r="G161" s="237"/>
      <c r="J161" s="42"/>
      <c r="K161" s="15"/>
      <c r="Y161" s="348" t="e">
        <f t="shared" si="6"/>
        <v>#N/A</v>
      </c>
      <c r="Z161" s="349" t="e">
        <f t="shared" si="7"/>
        <v>#N/A</v>
      </c>
      <c r="AA161" s="46" t="e">
        <f>(VLOOKUP(E161,Table6[#All],4,0))/(VLOOKUP(E161,Table6[#All],6,0))*F161</f>
        <v>#N/A</v>
      </c>
      <c r="AB161" s="47" t="e">
        <f>(VLOOKUP(E161,Table6[#All],3,0))/(VLOOKUP(E161,Table6[#All],7,0))*F161</f>
        <v>#N/A</v>
      </c>
      <c r="AC161" t="e">
        <f t="shared" si="8"/>
        <v>#N/A</v>
      </c>
    </row>
    <row r="162" spans="3:29" x14ac:dyDescent="0.4">
      <c r="C162" s="31"/>
      <c r="D162" s="235"/>
      <c r="E162" s="31"/>
      <c r="F162" s="236"/>
      <c r="G162" s="237"/>
      <c r="J162" s="42"/>
      <c r="K162" s="15"/>
      <c r="Y162" s="348" t="e">
        <f t="shared" si="6"/>
        <v>#N/A</v>
      </c>
      <c r="Z162" s="349" t="e">
        <f t="shared" si="7"/>
        <v>#N/A</v>
      </c>
      <c r="AA162" s="46" t="e">
        <f>(VLOOKUP(E162,Table6[#All],4,0))/(VLOOKUP(E162,Table6[#All],6,0))*F162</f>
        <v>#N/A</v>
      </c>
      <c r="AB162" s="47" t="e">
        <f>(VLOOKUP(E162,Table6[#All],3,0))/(VLOOKUP(E162,Table6[#All],7,0))*F162</f>
        <v>#N/A</v>
      </c>
      <c r="AC162" t="e">
        <f t="shared" si="8"/>
        <v>#N/A</v>
      </c>
    </row>
    <row r="163" spans="3:29" x14ac:dyDescent="0.4">
      <c r="C163" s="31"/>
      <c r="D163" s="235"/>
      <c r="E163" s="31"/>
      <c r="F163" s="236"/>
      <c r="G163" s="237"/>
      <c r="J163" s="42"/>
      <c r="K163" s="15"/>
      <c r="Y163" s="348" t="e">
        <f t="shared" si="6"/>
        <v>#N/A</v>
      </c>
      <c r="Z163" s="349" t="e">
        <f t="shared" si="7"/>
        <v>#N/A</v>
      </c>
      <c r="AA163" s="46" t="e">
        <f>(VLOOKUP(E163,Table6[#All],4,0))/(VLOOKUP(E163,Table6[#All],6,0))*F163</f>
        <v>#N/A</v>
      </c>
      <c r="AB163" s="47" t="e">
        <f>(VLOOKUP(E163,Table6[#All],3,0))/(VLOOKUP(E163,Table6[#All],7,0))*F163</f>
        <v>#N/A</v>
      </c>
      <c r="AC163" t="e">
        <f t="shared" si="8"/>
        <v>#N/A</v>
      </c>
    </row>
    <row r="164" spans="3:29" x14ac:dyDescent="0.4">
      <c r="C164" s="31"/>
      <c r="D164" s="235"/>
      <c r="E164" s="31"/>
      <c r="F164" s="236"/>
      <c r="G164" s="237"/>
      <c r="J164" s="42"/>
      <c r="K164" s="15"/>
      <c r="Y164" s="348" t="e">
        <f t="shared" si="6"/>
        <v>#N/A</v>
      </c>
      <c r="Z164" s="349" t="e">
        <f t="shared" si="7"/>
        <v>#N/A</v>
      </c>
      <c r="AA164" s="46" t="e">
        <f>(VLOOKUP(E164,Table6[#All],4,0))/(VLOOKUP(E164,Table6[#All],6,0))*F164</f>
        <v>#N/A</v>
      </c>
      <c r="AB164" s="47" t="e">
        <f>(VLOOKUP(E164,Table6[#All],3,0))/(VLOOKUP(E164,Table6[#All],7,0))*F164</f>
        <v>#N/A</v>
      </c>
      <c r="AC164" t="e">
        <f t="shared" si="8"/>
        <v>#N/A</v>
      </c>
    </row>
    <row r="165" spans="3:29" x14ac:dyDescent="0.4">
      <c r="C165" s="31"/>
      <c r="D165" s="235"/>
      <c r="E165" s="31"/>
      <c r="F165" s="236"/>
      <c r="G165" s="237"/>
      <c r="J165" s="42"/>
      <c r="K165" s="15"/>
      <c r="Y165" s="348" t="e">
        <f t="shared" si="6"/>
        <v>#N/A</v>
      </c>
      <c r="Z165" s="349" t="e">
        <f t="shared" si="7"/>
        <v>#N/A</v>
      </c>
      <c r="AA165" s="46" t="e">
        <f>(VLOOKUP(E165,Table6[#All],4,0))/(VLOOKUP(E165,Table6[#All],6,0))*F165</f>
        <v>#N/A</v>
      </c>
      <c r="AB165" s="47" t="e">
        <f>(VLOOKUP(E165,Table6[#All],3,0))/(VLOOKUP(E165,Table6[#All],7,0))*F165</f>
        <v>#N/A</v>
      </c>
      <c r="AC165" t="e">
        <f t="shared" si="8"/>
        <v>#N/A</v>
      </c>
    </row>
    <row r="166" spans="3:29" x14ac:dyDescent="0.4">
      <c r="C166" s="31"/>
      <c r="D166" s="235"/>
      <c r="E166" s="31"/>
      <c r="F166" s="236"/>
      <c r="G166" s="237"/>
      <c r="J166" s="42"/>
      <c r="K166" s="15"/>
      <c r="Y166" s="348" t="e">
        <f t="shared" si="6"/>
        <v>#N/A</v>
      </c>
      <c r="Z166" s="349" t="e">
        <f t="shared" si="7"/>
        <v>#N/A</v>
      </c>
      <c r="AA166" s="46" t="e">
        <f>(VLOOKUP(E166,Table6[#All],4,0))/(VLOOKUP(E166,Table6[#All],6,0))*F166</f>
        <v>#N/A</v>
      </c>
      <c r="AB166" s="47" t="e">
        <f>(VLOOKUP(E166,Table6[#All],3,0))/(VLOOKUP(E166,Table6[#All],7,0))*F166</f>
        <v>#N/A</v>
      </c>
      <c r="AC166" t="e">
        <f t="shared" si="8"/>
        <v>#N/A</v>
      </c>
    </row>
    <row r="167" spans="3:29" x14ac:dyDescent="0.4">
      <c r="C167" s="31"/>
      <c r="D167" s="235"/>
      <c r="E167" s="31"/>
      <c r="F167" s="236"/>
      <c r="G167" s="237"/>
      <c r="J167" s="42"/>
      <c r="K167" s="15"/>
      <c r="Y167" s="348" t="e">
        <f t="shared" si="6"/>
        <v>#N/A</v>
      </c>
      <c r="Z167" s="349" t="e">
        <f t="shared" si="7"/>
        <v>#N/A</v>
      </c>
      <c r="AA167" s="46" t="e">
        <f>(VLOOKUP(E167,Table6[#All],4,0))/(VLOOKUP(E167,Table6[#All],6,0))*F167</f>
        <v>#N/A</v>
      </c>
      <c r="AB167" s="47" t="e">
        <f>(VLOOKUP(E167,Table6[#All],3,0))/(VLOOKUP(E167,Table6[#All],7,0))*F167</f>
        <v>#N/A</v>
      </c>
      <c r="AC167" t="e">
        <f t="shared" si="8"/>
        <v>#N/A</v>
      </c>
    </row>
    <row r="168" spans="3:29" x14ac:dyDescent="0.4">
      <c r="C168" s="31"/>
      <c r="D168" s="235"/>
      <c r="E168" s="31"/>
      <c r="F168" s="236"/>
      <c r="G168" s="237"/>
      <c r="J168" s="42"/>
      <c r="K168" s="15"/>
      <c r="Y168" s="348" t="e">
        <f t="shared" si="6"/>
        <v>#N/A</v>
      </c>
      <c r="Z168" s="349" t="e">
        <f t="shared" si="7"/>
        <v>#N/A</v>
      </c>
      <c r="AA168" s="46" t="e">
        <f>(VLOOKUP(E168,Table6[#All],4,0))/(VLOOKUP(E168,Table6[#All],6,0))*F168</f>
        <v>#N/A</v>
      </c>
      <c r="AB168" s="47" t="e">
        <f>(VLOOKUP(E168,Table6[#All],3,0))/(VLOOKUP(E168,Table6[#All],7,0))*F168</f>
        <v>#N/A</v>
      </c>
      <c r="AC168" t="e">
        <f t="shared" si="8"/>
        <v>#N/A</v>
      </c>
    </row>
    <row r="169" spans="3:29" x14ac:dyDescent="0.4">
      <c r="C169" s="31"/>
      <c r="D169" s="235"/>
      <c r="E169" s="31"/>
      <c r="F169" s="236"/>
      <c r="G169" s="237"/>
      <c r="J169" s="42"/>
      <c r="K169" s="15"/>
      <c r="Y169" s="348" t="e">
        <f t="shared" si="6"/>
        <v>#N/A</v>
      </c>
      <c r="Z169" s="349" t="e">
        <f t="shared" si="7"/>
        <v>#N/A</v>
      </c>
      <c r="AA169" s="46" t="e">
        <f>(VLOOKUP(E169,Table6[#All],4,0))/(VLOOKUP(E169,Table6[#All],6,0))*F169</f>
        <v>#N/A</v>
      </c>
      <c r="AB169" s="47" t="e">
        <f>(VLOOKUP(E169,Table6[#All],3,0))/(VLOOKUP(E169,Table6[#All],7,0))*F169</f>
        <v>#N/A</v>
      </c>
      <c r="AC169" t="e">
        <f t="shared" si="8"/>
        <v>#N/A</v>
      </c>
    </row>
    <row r="170" spans="3:29" x14ac:dyDescent="0.4">
      <c r="C170" s="31"/>
      <c r="D170" s="235"/>
      <c r="E170" s="31"/>
      <c r="F170" s="236"/>
      <c r="G170" s="237"/>
      <c r="J170" s="42"/>
      <c r="K170" s="15"/>
      <c r="Y170" s="348" t="e">
        <f t="shared" si="6"/>
        <v>#N/A</v>
      </c>
      <c r="Z170" s="349" t="e">
        <f t="shared" si="7"/>
        <v>#N/A</v>
      </c>
      <c r="AA170" s="46" t="e">
        <f>(VLOOKUP(E170,Table6[#All],4,0))/(VLOOKUP(E170,Table6[#All],6,0))*F170</f>
        <v>#N/A</v>
      </c>
      <c r="AB170" s="47" t="e">
        <f>(VLOOKUP(E170,Table6[#All],3,0))/(VLOOKUP(E170,Table6[#All],7,0))*F170</f>
        <v>#N/A</v>
      </c>
      <c r="AC170" t="e">
        <f t="shared" si="8"/>
        <v>#N/A</v>
      </c>
    </row>
    <row r="171" spans="3:29" x14ac:dyDescent="0.4">
      <c r="C171" s="31"/>
      <c r="D171" s="235"/>
      <c r="E171" s="31"/>
      <c r="F171" s="236"/>
      <c r="G171" s="237"/>
      <c r="J171" s="42"/>
      <c r="K171" s="15"/>
      <c r="Y171" s="348" t="e">
        <f t="shared" ref="Y171:Y191" si="9">(VLOOKUP(E171, $C$4:$J$70, 8, 0))/100*F171</f>
        <v>#N/A</v>
      </c>
      <c r="Z171" s="349" t="e">
        <f t="shared" ref="Z171:Z191" si="10">(VLOOKUP(E171,$C$4:$J$70,4,0))*(VLOOKUP(E171,$C$4:$J$70,5,0))*F171*100</f>
        <v>#N/A</v>
      </c>
      <c r="AA171" s="46" t="e">
        <f>(VLOOKUP(E171,Table6[#All],4,0))/(VLOOKUP(E171,Table6[#All],6,0))*F171</f>
        <v>#N/A</v>
      </c>
      <c r="AB171" s="47" t="e">
        <f>(VLOOKUP(E171,Table6[#All],3,0))/(VLOOKUP(E171,Table6[#All],7,0))*F171</f>
        <v>#N/A</v>
      </c>
      <c r="AC171" t="e">
        <f t="shared" ref="AC171:AC191" si="11">(VLOOKUP(E171,$C$4:$J$70,5,0))*F171</f>
        <v>#N/A</v>
      </c>
    </row>
    <row r="172" spans="3:29" x14ac:dyDescent="0.4">
      <c r="C172" s="31"/>
      <c r="D172" s="235"/>
      <c r="E172" s="31"/>
      <c r="F172" s="236"/>
      <c r="G172" s="237"/>
      <c r="J172" s="42"/>
      <c r="K172" s="15"/>
      <c r="Y172" s="348" t="e">
        <f t="shared" si="9"/>
        <v>#N/A</v>
      </c>
      <c r="Z172" s="349" t="e">
        <f t="shared" si="10"/>
        <v>#N/A</v>
      </c>
      <c r="AA172" s="46" t="e">
        <f>(VLOOKUP(E172,Table6[#All],4,0))/(VLOOKUP(E172,Table6[#All],6,0))*F172</f>
        <v>#N/A</v>
      </c>
      <c r="AB172" s="47" t="e">
        <f>(VLOOKUP(E172,Table6[#All],3,0))/(VLOOKUP(E172,Table6[#All],7,0))*F172</f>
        <v>#N/A</v>
      </c>
      <c r="AC172" t="e">
        <f t="shared" si="11"/>
        <v>#N/A</v>
      </c>
    </row>
    <row r="173" spans="3:29" x14ac:dyDescent="0.4">
      <c r="C173" s="31"/>
      <c r="D173" s="235"/>
      <c r="E173" s="31"/>
      <c r="F173" s="236"/>
      <c r="G173" s="237"/>
      <c r="J173" s="42"/>
      <c r="K173" s="15"/>
      <c r="Y173" s="348" t="e">
        <f t="shared" si="9"/>
        <v>#N/A</v>
      </c>
      <c r="Z173" s="349" t="e">
        <f t="shared" si="10"/>
        <v>#N/A</v>
      </c>
      <c r="AA173" s="46" t="e">
        <f>(VLOOKUP(E173,Table6[#All],4,0))/(VLOOKUP(E173,Table6[#All],6,0))*F173</f>
        <v>#N/A</v>
      </c>
      <c r="AB173" s="47" t="e">
        <f>(VLOOKUP(E173,Table6[#All],3,0))/(VLOOKUP(E173,Table6[#All],7,0))*F173</f>
        <v>#N/A</v>
      </c>
      <c r="AC173" t="e">
        <f t="shared" si="11"/>
        <v>#N/A</v>
      </c>
    </row>
    <row r="174" spans="3:29" x14ac:dyDescent="0.4">
      <c r="C174" s="31"/>
      <c r="D174" s="235"/>
      <c r="E174" s="31"/>
      <c r="F174" s="236"/>
      <c r="G174" s="237"/>
      <c r="J174" s="42"/>
      <c r="K174" s="15"/>
      <c r="Y174" s="348" t="e">
        <f t="shared" si="9"/>
        <v>#N/A</v>
      </c>
      <c r="Z174" s="349" t="e">
        <f t="shared" si="10"/>
        <v>#N/A</v>
      </c>
      <c r="AA174" s="46" t="e">
        <f>(VLOOKUP(E174,Table6[#All],4,0))/(VLOOKUP(E174,Table6[#All],6,0))*F174</f>
        <v>#N/A</v>
      </c>
      <c r="AB174" s="47" t="e">
        <f>(VLOOKUP(E174,Table6[#All],3,0))/(VLOOKUP(E174,Table6[#All],7,0))*F174</f>
        <v>#N/A</v>
      </c>
      <c r="AC174" t="e">
        <f t="shared" si="11"/>
        <v>#N/A</v>
      </c>
    </row>
    <row r="175" spans="3:29" x14ac:dyDescent="0.4">
      <c r="C175" s="31"/>
      <c r="D175" s="235"/>
      <c r="E175" s="31"/>
      <c r="F175" s="236"/>
      <c r="G175" s="237"/>
      <c r="J175" s="42"/>
      <c r="K175" s="15"/>
      <c r="Y175" s="348" t="e">
        <f t="shared" si="9"/>
        <v>#N/A</v>
      </c>
      <c r="Z175" s="349" t="e">
        <f t="shared" si="10"/>
        <v>#N/A</v>
      </c>
      <c r="AA175" s="46" t="e">
        <f>(VLOOKUP(E175,Table6[#All],4,0))/(VLOOKUP(E175,Table6[#All],6,0))*F175</f>
        <v>#N/A</v>
      </c>
      <c r="AB175" s="47" t="e">
        <f>(VLOOKUP(E175,Table6[#All],3,0))/(VLOOKUP(E175,Table6[#All],7,0))*F175</f>
        <v>#N/A</v>
      </c>
      <c r="AC175" t="e">
        <f t="shared" si="11"/>
        <v>#N/A</v>
      </c>
    </row>
    <row r="176" spans="3:29" x14ac:dyDescent="0.4">
      <c r="C176" s="31"/>
      <c r="D176" s="235"/>
      <c r="E176" s="31"/>
      <c r="F176" s="236"/>
      <c r="G176" s="237"/>
      <c r="J176" s="42"/>
      <c r="K176" s="15"/>
      <c r="Y176" s="348" t="e">
        <f t="shared" si="9"/>
        <v>#N/A</v>
      </c>
      <c r="Z176" s="349" t="e">
        <f t="shared" si="10"/>
        <v>#N/A</v>
      </c>
      <c r="AA176" s="46" t="e">
        <f>(VLOOKUP(E176,Table6[#All],4,0))/(VLOOKUP(E176,Table6[#All],6,0))*F176</f>
        <v>#N/A</v>
      </c>
      <c r="AB176" s="47" t="e">
        <f>(VLOOKUP(E176,Table6[#All],3,0))/(VLOOKUP(E176,Table6[#All],7,0))*F176</f>
        <v>#N/A</v>
      </c>
      <c r="AC176" t="e">
        <f t="shared" si="11"/>
        <v>#N/A</v>
      </c>
    </row>
    <row r="177" spans="3:29" x14ac:dyDescent="0.4">
      <c r="C177" s="31"/>
      <c r="D177" s="235"/>
      <c r="E177" s="31"/>
      <c r="F177" s="236"/>
      <c r="G177" s="237"/>
      <c r="J177" s="42"/>
      <c r="K177" s="15"/>
      <c r="Y177" s="348" t="e">
        <f t="shared" si="9"/>
        <v>#N/A</v>
      </c>
      <c r="Z177" s="349" t="e">
        <f t="shared" si="10"/>
        <v>#N/A</v>
      </c>
      <c r="AA177" s="46" t="e">
        <f>(VLOOKUP(E177,Table6[#All],4,0))/(VLOOKUP(E177,Table6[#All],6,0))*F177</f>
        <v>#N/A</v>
      </c>
      <c r="AB177" s="47" t="e">
        <f>(VLOOKUP(E177,Table6[#All],3,0))/(VLOOKUP(E177,Table6[#All],7,0))*F177</f>
        <v>#N/A</v>
      </c>
      <c r="AC177" t="e">
        <f t="shared" si="11"/>
        <v>#N/A</v>
      </c>
    </row>
    <row r="178" spans="3:29" x14ac:dyDescent="0.4">
      <c r="C178" s="31"/>
      <c r="D178" s="235"/>
      <c r="E178" s="31"/>
      <c r="F178" s="236"/>
      <c r="G178" s="237"/>
      <c r="J178" s="42"/>
      <c r="K178" s="15"/>
      <c r="Y178" s="348" t="e">
        <f t="shared" si="9"/>
        <v>#N/A</v>
      </c>
      <c r="Z178" s="349" t="e">
        <f t="shared" si="10"/>
        <v>#N/A</v>
      </c>
      <c r="AA178" s="46" t="e">
        <f>(VLOOKUP(E178,Table6[#All],4,0))/(VLOOKUP(E178,Table6[#All],6,0))*F178</f>
        <v>#N/A</v>
      </c>
      <c r="AB178" s="47" t="e">
        <f>(VLOOKUP(E178,Table6[#All],3,0))/(VLOOKUP(E178,Table6[#All],7,0))*F178</f>
        <v>#N/A</v>
      </c>
      <c r="AC178" t="e">
        <f t="shared" si="11"/>
        <v>#N/A</v>
      </c>
    </row>
    <row r="179" spans="3:29" x14ac:dyDescent="0.4">
      <c r="C179" s="31"/>
      <c r="D179" s="235"/>
      <c r="E179" s="31"/>
      <c r="F179" s="236"/>
      <c r="G179" s="237"/>
      <c r="J179" s="42"/>
      <c r="K179" s="15"/>
      <c r="Y179" s="348" t="e">
        <f t="shared" si="9"/>
        <v>#N/A</v>
      </c>
      <c r="Z179" s="349" t="e">
        <f t="shared" si="10"/>
        <v>#N/A</v>
      </c>
      <c r="AA179" s="46" t="e">
        <f>(VLOOKUP(E179,Table6[#All],4,0))/(VLOOKUP(E179,Table6[#All],6,0))*F179</f>
        <v>#N/A</v>
      </c>
      <c r="AB179" s="47" t="e">
        <f>(VLOOKUP(E179,Table6[#All],3,0))/(VLOOKUP(E179,Table6[#All],7,0))*F179</f>
        <v>#N/A</v>
      </c>
      <c r="AC179" t="e">
        <f t="shared" si="11"/>
        <v>#N/A</v>
      </c>
    </row>
    <row r="180" spans="3:29" x14ac:dyDescent="0.4">
      <c r="C180" s="31"/>
      <c r="D180" s="235"/>
      <c r="E180" s="31"/>
      <c r="F180" s="236"/>
      <c r="G180" s="237"/>
      <c r="J180" s="42"/>
      <c r="K180" s="15"/>
      <c r="Y180" s="348" t="e">
        <f t="shared" si="9"/>
        <v>#N/A</v>
      </c>
      <c r="Z180" s="349" t="e">
        <f t="shared" si="10"/>
        <v>#N/A</v>
      </c>
      <c r="AA180" s="46" t="e">
        <f>(VLOOKUP(E180,Table6[#All],4,0))/(VLOOKUP(E180,Table6[#All],6,0))*F180</f>
        <v>#N/A</v>
      </c>
      <c r="AB180" s="47" t="e">
        <f>(VLOOKUP(E180,Table6[#All],3,0))/(VLOOKUP(E180,Table6[#All],7,0))*F180</f>
        <v>#N/A</v>
      </c>
      <c r="AC180" t="e">
        <f t="shared" si="11"/>
        <v>#N/A</v>
      </c>
    </row>
    <row r="181" spans="3:29" x14ac:dyDescent="0.4">
      <c r="C181" s="31"/>
      <c r="D181" s="235"/>
      <c r="E181" s="31"/>
      <c r="F181" s="236"/>
      <c r="G181" s="237"/>
      <c r="J181" s="42"/>
      <c r="K181" s="15"/>
      <c r="Y181" s="348" t="e">
        <f t="shared" si="9"/>
        <v>#N/A</v>
      </c>
      <c r="Z181" s="349" t="e">
        <f t="shared" si="10"/>
        <v>#N/A</v>
      </c>
      <c r="AA181" s="46" t="e">
        <f>(VLOOKUP(E181,Table6[#All],4,0))/(VLOOKUP(E181,Table6[#All],6,0))*F181</f>
        <v>#N/A</v>
      </c>
      <c r="AB181" s="47" t="e">
        <f>(VLOOKUP(E181,Table6[#All],3,0))/(VLOOKUP(E181,Table6[#All],7,0))*F181</f>
        <v>#N/A</v>
      </c>
      <c r="AC181" t="e">
        <f t="shared" si="11"/>
        <v>#N/A</v>
      </c>
    </row>
    <row r="182" spans="3:29" x14ac:dyDescent="0.4">
      <c r="C182" s="31"/>
      <c r="D182" s="235"/>
      <c r="E182" s="31"/>
      <c r="F182" s="236"/>
      <c r="G182" s="237"/>
      <c r="J182" s="42"/>
      <c r="K182" s="15"/>
      <c r="Y182" s="348" t="e">
        <f t="shared" si="9"/>
        <v>#N/A</v>
      </c>
      <c r="Z182" s="349" t="e">
        <f t="shared" si="10"/>
        <v>#N/A</v>
      </c>
      <c r="AA182" s="46" t="e">
        <f>(VLOOKUP(E182,Table6[#All],4,0))/(VLOOKUP(E182,Table6[#All],6,0))*F182</f>
        <v>#N/A</v>
      </c>
      <c r="AB182" s="47" t="e">
        <f>(VLOOKUP(E182,Table6[#All],3,0))/(VLOOKUP(E182,Table6[#All],7,0))*F182</f>
        <v>#N/A</v>
      </c>
      <c r="AC182" t="e">
        <f t="shared" si="11"/>
        <v>#N/A</v>
      </c>
    </row>
    <row r="183" spans="3:29" x14ac:dyDescent="0.4">
      <c r="C183" s="31"/>
      <c r="D183" s="235"/>
      <c r="E183" s="31"/>
      <c r="F183" s="236"/>
      <c r="G183" s="237"/>
      <c r="J183" s="42"/>
      <c r="K183" s="15"/>
      <c r="Y183" s="348" t="e">
        <f t="shared" si="9"/>
        <v>#N/A</v>
      </c>
      <c r="Z183" s="349" t="e">
        <f t="shared" si="10"/>
        <v>#N/A</v>
      </c>
      <c r="AA183" s="46" t="e">
        <f>(VLOOKUP(E183,Table6[#All],4,0))/(VLOOKUP(E183,Table6[#All],6,0))*F183</f>
        <v>#N/A</v>
      </c>
      <c r="AB183" s="47" t="e">
        <f>(VLOOKUP(E183,Table6[#All],3,0))/(VLOOKUP(E183,Table6[#All],7,0))*F183</f>
        <v>#N/A</v>
      </c>
      <c r="AC183" t="e">
        <f t="shared" si="11"/>
        <v>#N/A</v>
      </c>
    </row>
    <row r="184" spans="3:29" x14ac:dyDescent="0.4">
      <c r="C184" s="31"/>
      <c r="D184" s="235"/>
      <c r="E184" s="31"/>
      <c r="F184" s="236"/>
      <c r="G184" s="237"/>
      <c r="J184" s="42"/>
      <c r="K184" s="15"/>
      <c r="Y184" s="348" t="e">
        <f t="shared" si="9"/>
        <v>#N/A</v>
      </c>
      <c r="Z184" s="349" t="e">
        <f t="shared" si="10"/>
        <v>#N/A</v>
      </c>
      <c r="AA184" s="46" t="e">
        <f>(VLOOKUP(E184,Table6[#All],4,0))/(VLOOKUP(E184,Table6[#All],6,0))*F184</f>
        <v>#N/A</v>
      </c>
      <c r="AB184" s="47" t="e">
        <f>(VLOOKUP(E184,Table6[#All],3,0))/(VLOOKUP(E184,Table6[#All],7,0))*F184</f>
        <v>#N/A</v>
      </c>
      <c r="AC184" t="e">
        <f t="shared" si="11"/>
        <v>#N/A</v>
      </c>
    </row>
    <row r="185" spans="3:29" x14ac:dyDescent="0.4">
      <c r="C185" s="31"/>
      <c r="D185" s="235"/>
      <c r="E185" s="31"/>
      <c r="F185" s="236"/>
      <c r="G185" s="237"/>
      <c r="J185" s="42"/>
      <c r="K185" s="15"/>
      <c r="Y185" s="348" t="e">
        <f t="shared" si="9"/>
        <v>#N/A</v>
      </c>
      <c r="Z185" s="349" t="e">
        <f t="shared" si="10"/>
        <v>#N/A</v>
      </c>
      <c r="AA185" s="46" t="e">
        <f>(VLOOKUP(E185,Table6[#All],4,0))/(VLOOKUP(E185,Table6[#All],6,0))*F185</f>
        <v>#N/A</v>
      </c>
      <c r="AB185" s="47" t="e">
        <f>(VLOOKUP(E185,Table6[#All],3,0))/(VLOOKUP(E185,Table6[#All],7,0))*F185</f>
        <v>#N/A</v>
      </c>
      <c r="AC185" t="e">
        <f t="shared" si="11"/>
        <v>#N/A</v>
      </c>
    </row>
    <row r="186" spans="3:29" x14ac:dyDescent="0.4">
      <c r="C186" s="31"/>
      <c r="D186" s="235"/>
      <c r="E186" s="31"/>
      <c r="F186" s="236"/>
      <c r="G186" s="237"/>
      <c r="J186" s="42"/>
      <c r="K186" s="15"/>
      <c r="Y186" s="348" t="e">
        <f t="shared" si="9"/>
        <v>#N/A</v>
      </c>
      <c r="Z186" s="349" t="e">
        <f t="shared" si="10"/>
        <v>#N/A</v>
      </c>
      <c r="AA186" s="46" t="e">
        <f>(VLOOKUP(E186,Table6[#All],4,0))/(VLOOKUP(E186,Table6[#All],6,0))*F186</f>
        <v>#N/A</v>
      </c>
      <c r="AB186" s="47" t="e">
        <f>(VLOOKUP(E186,Table6[#All],3,0))/(VLOOKUP(E186,Table6[#All],7,0))*F186</f>
        <v>#N/A</v>
      </c>
      <c r="AC186" t="e">
        <f t="shared" si="11"/>
        <v>#N/A</v>
      </c>
    </row>
    <row r="187" spans="3:29" x14ac:dyDescent="0.4">
      <c r="C187" s="31"/>
      <c r="D187" s="235"/>
      <c r="E187" s="31"/>
      <c r="F187" s="236"/>
      <c r="G187" s="237"/>
      <c r="J187" s="42"/>
      <c r="K187" s="15"/>
      <c r="Y187" s="348" t="e">
        <f t="shared" si="9"/>
        <v>#N/A</v>
      </c>
      <c r="Z187" s="349" t="e">
        <f t="shared" si="10"/>
        <v>#N/A</v>
      </c>
      <c r="AA187" s="46" t="e">
        <f>(VLOOKUP(E187,Table6[#All],4,0))/(VLOOKUP(E187,Table6[#All],6,0))*F187</f>
        <v>#N/A</v>
      </c>
      <c r="AB187" s="47" t="e">
        <f>(VLOOKUP(E187,Table6[#All],3,0))/(VLOOKUP(E187,Table6[#All],7,0))*F187</f>
        <v>#N/A</v>
      </c>
      <c r="AC187" t="e">
        <f t="shared" si="11"/>
        <v>#N/A</v>
      </c>
    </row>
    <row r="188" spans="3:29" x14ac:dyDescent="0.4">
      <c r="C188" s="31"/>
      <c r="D188" s="235"/>
      <c r="E188" s="31"/>
      <c r="F188" s="236"/>
      <c r="G188" s="237"/>
      <c r="J188" s="42"/>
      <c r="K188" s="15"/>
      <c r="Y188" s="348" t="e">
        <f t="shared" si="9"/>
        <v>#N/A</v>
      </c>
      <c r="Z188" s="349" t="e">
        <f t="shared" si="10"/>
        <v>#N/A</v>
      </c>
      <c r="AA188" s="46" t="e">
        <f>(VLOOKUP(E188,Table6[#All],4,0))/(VLOOKUP(E188,Table6[#All],6,0))*F188</f>
        <v>#N/A</v>
      </c>
      <c r="AB188" s="47" t="e">
        <f>(VLOOKUP(E188,Table6[#All],3,0))/(VLOOKUP(E188,Table6[#All],7,0))*F188</f>
        <v>#N/A</v>
      </c>
      <c r="AC188" t="e">
        <f t="shared" si="11"/>
        <v>#N/A</v>
      </c>
    </row>
    <row r="189" spans="3:29" x14ac:dyDescent="0.4">
      <c r="C189" s="31"/>
      <c r="D189" s="235"/>
      <c r="E189" s="31"/>
      <c r="F189" s="236"/>
      <c r="G189" s="237"/>
      <c r="J189" s="42"/>
      <c r="K189" s="15"/>
      <c r="Y189" s="348" t="e">
        <f t="shared" si="9"/>
        <v>#N/A</v>
      </c>
      <c r="Z189" s="349" t="e">
        <f t="shared" si="10"/>
        <v>#N/A</v>
      </c>
      <c r="AA189" s="46" t="e">
        <f>(VLOOKUP(E189,Table6[#All],4,0))/(VLOOKUP(E189,Table6[#All],6,0))*F189</f>
        <v>#N/A</v>
      </c>
      <c r="AB189" s="47" t="e">
        <f>(VLOOKUP(E189,Table6[#All],3,0))/(VLOOKUP(E189,Table6[#All],7,0))*F189</f>
        <v>#N/A</v>
      </c>
      <c r="AC189" t="e">
        <f t="shared" si="11"/>
        <v>#N/A</v>
      </c>
    </row>
    <row r="190" spans="3:29" x14ac:dyDescent="0.4">
      <c r="C190" s="31"/>
      <c r="D190" s="235"/>
      <c r="E190" s="31"/>
      <c r="F190" s="236"/>
      <c r="G190" s="237"/>
      <c r="J190" s="42"/>
      <c r="K190" s="15"/>
      <c r="Y190" s="348" t="e">
        <f t="shared" si="9"/>
        <v>#N/A</v>
      </c>
      <c r="Z190" s="349" t="e">
        <f t="shared" si="10"/>
        <v>#N/A</v>
      </c>
      <c r="AA190" s="46" t="e">
        <f>(VLOOKUP(E190,Table6[#All],4,0))/(VLOOKUP(E190,Table6[#All],6,0))*F190</f>
        <v>#N/A</v>
      </c>
      <c r="AB190" s="47" t="e">
        <f>(VLOOKUP(E190,Table6[#All],3,0))/(VLOOKUP(E190,Table6[#All],7,0))*F190</f>
        <v>#N/A</v>
      </c>
      <c r="AC190" t="e">
        <f t="shared" si="11"/>
        <v>#N/A</v>
      </c>
    </row>
    <row r="191" spans="3:29" x14ac:dyDescent="0.4">
      <c r="C191" s="31"/>
      <c r="D191" s="235"/>
      <c r="E191" s="31"/>
      <c r="F191" s="236"/>
      <c r="G191" s="237"/>
      <c r="J191" s="42"/>
      <c r="K191" s="15"/>
      <c r="Y191" s="348" t="e">
        <f t="shared" si="9"/>
        <v>#N/A</v>
      </c>
      <c r="Z191" s="349" t="e">
        <f t="shared" si="10"/>
        <v>#N/A</v>
      </c>
      <c r="AA191" s="46" t="e">
        <f>(VLOOKUP(E191,Table6[#All],4,0))/(VLOOKUP(E191,Table6[#All],6,0))*F191</f>
        <v>#N/A</v>
      </c>
      <c r="AB191" s="47" t="e">
        <f>(VLOOKUP(E191,Table6[#All],3,0))/(VLOOKUP(E191,Table6[#All],7,0))*F191</f>
        <v>#N/A</v>
      </c>
      <c r="AC191" t="e">
        <f t="shared" si="11"/>
        <v>#N/A</v>
      </c>
    </row>
    <row r="192" spans="3:29" x14ac:dyDescent="0.4">
      <c r="C192" s="31"/>
      <c r="D192" s="235"/>
      <c r="E192" s="31"/>
      <c r="F192" s="236"/>
      <c r="G192" s="237"/>
      <c r="Y192" s="348" t="e">
        <f t="shared" ref="Y192:Y255" si="12">(VLOOKUP(E192, $C$4:$J$70, 8, 0))/100*F192</f>
        <v>#N/A</v>
      </c>
      <c r="Z192" s="349" t="e">
        <f t="shared" ref="Z192:Z255" si="13">(VLOOKUP(E192,$C$4:$J$70,4,0))*(VLOOKUP(E192,$C$4:$J$70,5,0))*F192*100</f>
        <v>#N/A</v>
      </c>
      <c r="AA192" s="46" t="e">
        <f>(VLOOKUP(E192,Table6[#All],4,0))/(VLOOKUP(E192,Table6[#All],6,0))*F192</f>
        <v>#N/A</v>
      </c>
      <c r="AB192" s="47" t="e">
        <f>(VLOOKUP(E192,Table6[#All],3,0))/(VLOOKUP(E192,Table6[#All],7,0))*F192</f>
        <v>#N/A</v>
      </c>
      <c r="AC192" t="e">
        <f t="shared" ref="AC192:AC255" si="14">(VLOOKUP(E192,$C$4:$J$70,5,0))*F192</f>
        <v>#N/A</v>
      </c>
    </row>
    <row r="193" spans="3:29" x14ac:dyDescent="0.4">
      <c r="C193" s="31"/>
      <c r="D193" s="235"/>
      <c r="E193" s="31"/>
      <c r="F193" s="236"/>
      <c r="G193" s="237"/>
      <c r="Y193" s="348" t="e">
        <f t="shared" si="12"/>
        <v>#N/A</v>
      </c>
      <c r="Z193" s="349" t="e">
        <f t="shared" si="13"/>
        <v>#N/A</v>
      </c>
      <c r="AA193" s="46" t="e">
        <f>(VLOOKUP(E193,Table6[#All],4,0))/(VLOOKUP(E193,Table6[#All],6,0))*F193</f>
        <v>#N/A</v>
      </c>
      <c r="AB193" s="47" t="e">
        <f>(VLOOKUP(E193,Table6[#All],3,0))/(VLOOKUP(E193,Table6[#All],7,0))*F193</f>
        <v>#N/A</v>
      </c>
      <c r="AC193" t="e">
        <f t="shared" si="14"/>
        <v>#N/A</v>
      </c>
    </row>
    <row r="194" spans="3:29" x14ac:dyDescent="0.4">
      <c r="C194" s="31"/>
      <c r="D194" s="235"/>
      <c r="E194" s="31"/>
      <c r="F194" s="236"/>
      <c r="G194" s="237"/>
      <c r="Y194" s="348" t="e">
        <f t="shared" si="12"/>
        <v>#N/A</v>
      </c>
      <c r="Z194" s="349" t="e">
        <f t="shared" si="13"/>
        <v>#N/A</v>
      </c>
      <c r="AA194" s="46" t="e">
        <f>(VLOOKUP(E194,Table6[#All],4,0))/(VLOOKUP(E194,Table6[#All],6,0))*F194</f>
        <v>#N/A</v>
      </c>
      <c r="AB194" s="47" t="e">
        <f>(VLOOKUP(E194,Table6[#All],3,0))/(VLOOKUP(E194,Table6[#All],7,0))*F194</f>
        <v>#N/A</v>
      </c>
      <c r="AC194" t="e">
        <f t="shared" si="14"/>
        <v>#N/A</v>
      </c>
    </row>
    <row r="195" spans="3:29" x14ac:dyDescent="0.4">
      <c r="C195" s="31"/>
      <c r="D195" s="235"/>
      <c r="E195" s="31"/>
      <c r="F195" s="236"/>
      <c r="G195" s="237"/>
      <c r="Y195" s="348" t="e">
        <f t="shared" si="12"/>
        <v>#N/A</v>
      </c>
      <c r="Z195" s="349" t="e">
        <f t="shared" si="13"/>
        <v>#N/A</v>
      </c>
      <c r="AA195" s="46" t="e">
        <f>(VLOOKUP(E195,Table6[#All],4,0))/(VLOOKUP(E195,Table6[#All],6,0))*F195</f>
        <v>#N/A</v>
      </c>
      <c r="AB195" s="47" t="e">
        <f>(VLOOKUP(E195,Table6[#All],3,0))/(VLOOKUP(E195,Table6[#All],7,0))*F195</f>
        <v>#N/A</v>
      </c>
      <c r="AC195" t="e">
        <f t="shared" si="14"/>
        <v>#N/A</v>
      </c>
    </row>
    <row r="196" spans="3:29" x14ac:dyDescent="0.4">
      <c r="C196" s="31"/>
      <c r="D196" s="235"/>
      <c r="E196" s="31"/>
      <c r="F196" s="236"/>
      <c r="G196" s="237"/>
      <c r="Y196" s="348" t="e">
        <f t="shared" si="12"/>
        <v>#N/A</v>
      </c>
      <c r="Z196" s="349" t="e">
        <f t="shared" si="13"/>
        <v>#N/A</v>
      </c>
      <c r="AA196" s="46" t="e">
        <f>(VLOOKUP(E196,Table6[#All],4,0))/(VLOOKUP(E196,Table6[#All],6,0))*F196</f>
        <v>#N/A</v>
      </c>
      <c r="AB196" s="47" t="e">
        <f>(VLOOKUP(E196,Table6[#All],3,0))/(VLOOKUP(E196,Table6[#All],7,0))*F196</f>
        <v>#N/A</v>
      </c>
      <c r="AC196" t="e">
        <f t="shared" si="14"/>
        <v>#N/A</v>
      </c>
    </row>
    <row r="197" spans="3:29" x14ac:dyDescent="0.4">
      <c r="C197" s="31"/>
      <c r="D197" s="235"/>
      <c r="E197" s="31"/>
      <c r="F197" s="236"/>
      <c r="G197" s="237"/>
      <c r="Y197" s="348" t="e">
        <f t="shared" si="12"/>
        <v>#N/A</v>
      </c>
      <c r="Z197" s="349" t="e">
        <f t="shared" si="13"/>
        <v>#N/A</v>
      </c>
      <c r="AA197" s="46" t="e">
        <f>(VLOOKUP(E197,Table6[#All],4,0))/(VLOOKUP(E197,Table6[#All],6,0))*F197</f>
        <v>#N/A</v>
      </c>
      <c r="AB197" s="47" t="e">
        <f>(VLOOKUP(E197,Table6[#All],3,0))/(VLOOKUP(E197,Table6[#All],7,0))*F197</f>
        <v>#N/A</v>
      </c>
      <c r="AC197" t="e">
        <f t="shared" si="14"/>
        <v>#N/A</v>
      </c>
    </row>
    <row r="198" spans="3:29" x14ac:dyDescent="0.4">
      <c r="C198" s="31"/>
      <c r="D198" s="235"/>
      <c r="E198" s="31"/>
      <c r="F198" s="236"/>
      <c r="G198" s="237"/>
      <c r="Y198" s="348" t="e">
        <f t="shared" si="12"/>
        <v>#N/A</v>
      </c>
      <c r="Z198" s="349" t="e">
        <f t="shared" si="13"/>
        <v>#N/A</v>
      </c>
      <c r="AA198" s="46" t="e">
        <f>(VLOOKUP(E198,Table6[#All],4,0))/(VLOOKUP(E198,Table6[#All],6,0))*F198</f>
        <v>#N/A</v>
      </c>
      <c r="AB198" s="47" t="e">
        <f>(VLOOKUP(E198,Table6[#All],3,0))/(VLOOKUP(E198,Table6[#All],7,0))*F198</f>
        <v>#N/A</v>
      </c>
      <c r="AC198" t="e">
        <f t="shared" si="14"/>
        <v>#N/A</v>
      </c>
    </row>
    <row r="199" spans="3:29" x14ac:dyDescent="0.4">
      <c r="C199" s="31"/>
      <c r="D199" s="235"/>
      <c r="E199" s="31"/>
      <c r="F199" s="236"/>
      <c r="G199" s="237"/>
      <c r="Y199" s="348" t="e">
        <f t="shared" si="12"/>
        <v>#N/A</v>
      </c>
      <c r="Z199" s="349" t="e">
        <f t="shared" si="13"/>
        <v>#N/A</v>
      </c>
      <c r="AA199" s="46" t="e">
        <f>(VLOOKUP(E199,Table6[#All],4,0))/(VLOOKUP(E199,Table6[#All],6,0))*F199</f>
        <v>#N/A</v>
      </c>
      <c r="AB199" s="47" t="e">
        <f>(VLOOKUP(E199,Table6[#All],3,0))/(VLOOKUP(E199,Table6[#All],7,0))*F199</f>
        <v>#N/A</v>
      </c>
      <c r="AC199" t="e">
        <f t="shared" si="14"/>
        <v>#N/A</v>
      </c>
    </row>
    <row r="200" spans="3:29" x14ac:dyDescent="0.4">
      <c r="C200" s="31"/>
      <c r="D200" s="235"/>
      <c r="E200" s="31"/>
      <c r="F200" s="236"/>
      <c r="G200" s="237"/>
      <c r="Y200" s="348" t="e">
        <f t="shared" si="12"/>
        <v>#N/A</v>
      </c>
      <c r="Z200" s="349" t="e">
        <f t="shared" si="13"/>
        <v>#N/A</v>
      </c>
      <c r="AA200" s="46" t="e">
        <f>(VLOOKUP(E200,Table6[#All],4,0))/(VLOOKUP(E200,Table6[#All],6,0))*F200</f>
        <v>#N/A</v>
      </c>
      <c r="AB200" s="47" t="e">
        <f>(VLOOKUP(E200,Table6[#All],3,0))/(VLOOKUP(E200,Table6[#All],7,0))*F200</f>
        <v>#N/A</v>
      </c>
      <c r="AC200" t="e">
        <f t="shared" si="14"/>
        <v>#N/A</v>
      </c>
    </row>
    <row r="201" spans="3:29" x14ac:dyDescent="0.4">
      <c r="C201" s="31"/>
      <c r="D201" s="235"/>
      <c r="E201" s="31"/>
      <c r="F201" s="236"/>
      <c r="G201" s="237"/>
      <c r="Y201" s="348" t="e">
        <f t="shared" si="12"/>
        <v>#N/A</v>
      </c>
      <c r="Z201" s="349" t="e">
        <f t="shared" si="13"/>
        <v>#N/A</v>
      </c>
      <c r="AA201" s="46" t="e">
        <f>(VLOOKUP(E201,Table6[#All],4,0))/(VLOOKUP(E201,Table6[#All],6,0))*F201</f>
        <v>#N/A</v>
      </c>
      <c r="AB201" s="47" t="e">
        <f>(VLOOKUP(E201,Table6[#All],3,0))/(VLOOKUP(E201,Table6[#All],7,0))*F201</f>
        <v>#N/A</v>
      </c>
      <c r="AC201" t="e">
        <f t="shared" si="14"/>
        <v>#N/A</v>
      </c>
    </row>
    <row r="202" spans="3:29" x14ac:dyDescent="0.4">
      <c r="C202" s="31"/>
      <c r="D202" s="235"/>
      <c r="E202" s="31"/>
      <c r="F202" s="236"/>
      <c r="G202" s="237"/>
      <c r="Y202" s="348" t="e">
        <f t="shared" si="12"/>
        <v>#N/A</v>
      </c>
      <c r="Z202" s="349" t="e">
        <f t="shared" si="13"/>
        <v>#N/A</v>
      </c>
      <c r="AA202" s="46" t="e">
        <f>(VLOOKUP(E202,Table6[#All],4,0))/(VLOOKUP(E202,Table6[#All],6,0))*F202</f>
        <v>#N/A</v>
      </c>
      <c r="AB202" s="47" t="e">
        <f>(VLOOKUP(E202,Table6[#All],3,0))/(VLOOKUP(E202,Table6[#All],7,0))*F202</f>
        <v>#N/A</v>
      </c>
      <c r="AC202" t="e">
        <f t="shared" si="14"/>
        <v>#N/A</v>
      </c>
    </row>
    <row r="203" spans="3:29" x14ac:dyDescent="0.4">
      <c r="C203" s="31"/>
      <c r="D203" s="235"/>
      <c r="E203" s="31"/>
      <c r="F203" s="236"/>
      <c r="G203" s="237"/>
      <c r="Y203" s="348" t="e">
        <f t="shared" si="12"/>
        <v>#N/A</v>
      </c>
      <c r="Z203" s="349" t="e">
        <f t="shared" si="13"/>
        <v>#N/A</v>
      </c>
      <c r="AA203" s="46" t="e">
        <f>(VLOOKUP(E203,Table6[#All],4,0))/(VLOOKUP(E203,Table6[#All],6,0))*F203</f>
        <v>#N/A</v>
      </c>
      <c r="AB203" s="47" t="e">
        <f>(VLOOKUP(E203,Table6[#All],3,0))/(VLOOKUP(E203,Table6[#All],7,0))*F203</f>
        <v>#N/A</v>
      </c>
      <c r="AC203" t="e">
        <f t="shared" si="14"/>
        <v>#N/A</v>
      </c>
    </row>
    <row r="204" spans="3:29" x14ac:dyDescent="0.4">
      <c r="C204" s="31"/>
      <c r="D204" s="235"/>
      <c r="E204" s="31"/>
      <c r="F204" s="236"/>
      <c r="G204" s="237"/>
      <c r="Y204" s="348" t="e">
        <f t="shared" si="12"/>
        <v>#N/A</v>
      </c>
      <c r="Z204" s="349" t="e">
        <f t="shared" si="13"/>
        <v>#N/A</v>
      </c>
      <c r="AA204" s="46" t="e">
        <f>(VLOOKUP(E204,Table6[#All],4,0))/(VLOOKUP(E204,Table6[#All],6,0))*F204</f>
        <v>#N/A</v>
      </c>
      <c r="AB204" s="47" t="e">
        <f>(VLOOKUP(E204,Table6[#All],3,0))/(VLOOKUP(E204,Table6[#All],7,0))*F204</f>
        <v>#N/A</v>
      </c>
      <c r="AC204" t="e">
        <f t="shared" si="14"/>
        <v>#N/A</v>
      </c>
    </row>
    <row r="205" spans="3:29" x14ac:dyDescent="0.4">
      <c r="C205" s="31"/>
      <c r="D205" s="235"/>
      <c r="E205" s="31"/>
      <c r="F205" s="236"/>
      <c r="G205" s="237"/>
      <c r="Y205" s="348" t="e">
        <f t="shared" si="12"/>
        <v>#N/A</v>
      </c>
      <c r="Z205" s="349" t="e">
        <f t="shared" si="13"/>
        <v>#N/A</v>
      </c>
      <c r="AA205" s="46" t="e">
        <f>(VLOOKUP(E205,Table6[#All],4,0))/(VLOOKUP(E205,Table6[#All],6,0))*F205</f>
        <v>#N/A</v>
      </c>
      <c r="AB205" s="47" t="e">
        <f>(VLOOKUP(E205,Table6[#All],3,0))/(VLOOKUP(E205,Table6[#All],7,0))*F205</f>
        <v>#N/A</v>
      </c>
      <c r="AC205" t="e">
        <f t="shared" si="14"/>
        <v>#N/A</v>
      </c>
    </row>
    <row r="206" spans="3:29" x14ac:dyDescent="0.4">
      <c r="C206" s="31"/>
      <c r="D206" s="235"/>
      <c r="E206" s="31"/>
      <c r="F206" s="236"/>
      <c r="G206" s="237"/>
      <c r="Y206" s="348" t="e">
        <f t="shared" si="12"/>
        <v>#N/A</v>
      </c>
      <c r="Z206" s="349" t="e">
        <f t="shared" si="13"/>
        <v>#N/A</v>
      </c>
      <c r="AA206" s="46" t="e">
        <f>(VLOOKUP(E206,Table6[#All],4,0))/(VLOOKUP(E206,Table6[#All],6,0))*F206</f>
        <v>#N/A</v>
      </c>
      <c r="AB206" s="47" t="e">
        <f>(VLOOKUP(E206,Table6[#All],3,0))/(VLOOKUP(E206,Table6[#All],7,0))*F206</f>
        <v>#N/A</v>
      </c>
      <c r="AC206" t="e">
        <f t="shared" si="14"/>
        <v>#N/A</v>
      </c>
    </row>
    <row r="207" spans="3:29" x14ac:dyDescent="0.4">
      <c r="C207" s="31"/>
      <c r="D207" s="235"/>
      <c r="E207" s="31"/>
      <c r="F207" s="236"/>
      <c r="G207" s="237"/>
      <c r="Y207" s="348" t="e">
        <f t="shared" si="12"/>
        <v>#N/A</v>
      </c>
      <c r="Z207" s="349" t="e">
        <f t="shared" si="13"/>
        <v>#N/A</v>
      </c>
      <c r="AA207" s="46" t="e">
        <f>(VLOOKUP(E207,Table6[#All],4,0))/(VLOOKUP(E207,Table6[#All],6,0))*F207</f>
        <v>#N/A</v>
      </c>
      <c r="AB207" s="47" t="e">
        <f>(VLOOKUP(E207,Table6[#All],3,0))/(VLOOKUP(E207,Table6[#All],7,0))*F207</f>
        <v>#N/A</v>
      </c>
      <c r="AC207" t="e">
        <f t="shared" si="14"/>
        <v>#N/A</v>
      </c>
    </row>
    <row r="208" spans="3:29" x14ac:dyDescent="0.4">
      <c r="C208" s="31"/>
      <c r="D208" s="235"/>
      <c r="E208" s="31"/>
      <c r="F208" s="236"/>
      <c r="G208" s="237"/>
      <c r="Y208" s="348" t="e">
        <f t="shared" si="12"/>
        <v>#N/A</v>
      </c>
      <c r="Z208" s="349" t="e">
        <f t="shared" si="13"/>
        <v>#N/A</v>
      </c>
      <c r="AA208" s="46" t="e">
        <f>(VLOOKUP(E208,Table6[#All],4,0))/(VLOOKUP(E208,Table6[#All],6,0))*F208</f>
        <v>#N/A</v>
      </c>
      <c r="AB208" s="47" t="e">
        <f>(VLOOKUP(E208,Table6[#All],3,0))/(VLOOKUP(E208,Table6[#All],7,0))*F208</f>
        <v>#N/A</v>
      </c>
      <c r="AC208" t="e">
        <f t="shared" si="14"/>
        <v>#N/A</v>
      </c>
    </row>
    <row r="209" spans="3:29" x14ac:dyDescent="0.4">
      <c r="C209" s="31"/>
      <c r="D209" s="235"/>
      <c r="E209" s="31"/>
      <c r="F209" s="236"/>
      <c r="G209" s="237"/>
      <c r="Y209" s="348" t="e">
        <f t="shared" si="12"/>
        <v>#N/A</v>
      </c>
      <c r="Z209" s="349" t="e">
        <f t="shared" si="13"/>
        <v>#N/A</v>
      </c>
      <c r="AA209" s="46" t="e">
        <f>(VLOOKUP(E209,Table6[#All],4,0))/(VLOOKUP(E209,Table6[#All],6,0))*F209</f>
        <v>#N/A</v>
      </c>
      <c r="AB209" s="47" t="e">
        <f>(VLOOKUP(E209,Table6[#All],3,0))/(VLOOKUP(E209,Table6[#All],7,0))*F209</f>
        <v>#N/A</v>
      </c>
      <c r="AC209" t="e">
        <f t="shared" si="14"/>
        <v>#N/A</v>
      </c>
    </row>
    <row r="210" spans="3:29" x14ac:dyDescent="0.4">
      <c r="C210" s="31"/>
      <c r="D210" s="235"/>
      <c r="E210" s="31"/>
      <c r="F210" s="236"/>
      <c r="G210" s="237"/>
      <c r="Y210" s="348" t="e">
        <f t="shared" si="12"/>
        <v>#N/A</v>
      </c>
      <c r="Z210" s="349" t="e">
        <f t="shared" si="13"/>
        <v>#N/A</v>
      </c>
      <c r="AA210" s="46" t="e">
        <f>(VLOOKUP(E210,Table6[#All],4,0))/(VLOOKUP(E210,Table6[#All],6,0))*F210</f>
        <v>#N/A</v>
      </c>
      <c r="AB210" s="47" t="e">
        <f>(VLOOKUP(E210,Table6[#All],3,0))/(VLOOKUP(E210,Table6[#All],7,0))*F210</f>
        <v>#N/A</v>
      </c>
      <c r="AC210" t="e">
        <f t="shared" si="14"/>
        <v>#N/A</v>
      </c>
    </row>
    <row r="211" spans="3:29" x14ac:dyDescent="0.4">
      <c r="C211" s="31"/>
      <c r="D211" s="235"/>
      <c r="E211" s="31"/>
      <c r="F211" s="236"/>
      <c r="G211" s="237"/>
      <c r="Y211" s="348" t="e">
        <f t="shared" si="12"/>
        <v>#N/A</v>
      </c>
      <c r="Z211" s="349" t="e">
        <f t="shared" si="13"/>
        <v>#N/A</v>
      </c>
      <c r="AA211" s="46" t="e">
        <f>(VLOOKUP(E211,Table6[#All],4,0))/(VLOOKUP(E211,Table6[#All],6,0))*F211</f>
        <v>#N/A</v>
      </c>
      <c r="AB211" s="47" t="e">
        <f>(VLOOKUP(E211,Table6[#All],3,0))/(VLOOKUP(E211,Table6[#All],7,0))*F211</f>
        <v>#N/A</v>
      </c>
      <c r="AC211" t="e">
        <f t="shared" si="14"/>
        <v>#N/A</v>
      </c>
    </row>
    <row r="212" spans="3:29" x14ac:dyDescent="0.4">
      <c r="C212" s="31"/>
      <c r="D212" s="235"/>
      <c r="E212" s="31"/>
      <c r="F212" s="236"/>
      <c r="G212" s="237"/>
      <c r="Y212" s="348" t="e">
        <f t="shared" si="12"/>
        <v>#N/A</v>
      </c>
      <c r="Z212" s="349" t="e">
        <f t="shared" si="13"/>
        <v>#N/A</v>
      </c>
      <c r="AA212" s="46" t="e">
        <f>(VLOOKUP(E212,Table6[#All],4,0))/(VLOOKUP(E212,Table6[#All],6,0))*F212</f>
        <v>#N/A</v>
      </c>
      <c r="AB212" s="47" t="e">
        <f>(VLOOKUP(E212,Table6[#All],3,0))/(VLOOKUP(E212,Table6[#All],7,0))*F212</f>
        <v>#N/A</v>
      </c>
      <c r="AC212" t="e">
        <f t="shared" si="14"/>
        <v>#N/A</v>
      </c>
    </row>
    <row r="213" spans="3:29" x14ac:dyDescent="0.4">
      <c r="C213" s="31"/>
      <c r="D213" s="235"/>
      <c r="E213" s="31"/>
      <c r="F213" s="236"/>
      <c r="G213" s="237"/>
      <c r="Y213" s="348" t="e">
        <f t="shared" si="12"/>
        <v>#N/A</v>
      </c>
      <c r="Z213" s="349" t="e">
        <f t="shared" si="13"/>
        <v>#N/A</v>
      </c>
      <c r="AA213" s="46" t="e">
        <f>(VLOOKUP(E213,Table6[#All],4,0))/(VLOOKUP(E213,Table6[#All],6,0))*F213</f>
        <v>#N/A</v>
      </c>
      <c r="AB213" s="47" t="e">
        <f>(VLOOKUP(E213,Table6[#All],3,0))/(VLOOKUP(E213,Table6[#All],7,0))*F213</f>
        <v>#N/A</v>
      </c>
      <c r="AC213" t="e">
        <f t="shared" si="14"/>
        <v>#N/A</v>
      </c>
    </row>
    <row r="214" spans="3:29" x14ac:dyDescent="0.4">
      <c r="C214" s="31"/>
      <c r="D214" s="235"/>
      <c r="E214" s="31"/>
      <c r="F214" s="236"/>
      <c r="G214" s="237"/>
      <c r="Y214" s="348" t="e">
        <f t="shared" si="12"/>
        <v>#N/A</v>
      </c>
      <c r="Z214" s="349" t="e">
        <f t="shared" si="13"/>
        <v>#N/A</v>
      </c>
      <c r="AA214" s="46" t="e">
        <f>(VLOOKUP(E214,Table6[#All],4,0))/(VLOOKUP(E214,Table6[#All],6,0))*F214</f>
        <v>#N/A</v>
      </c>
      <c r="AB214" s="47" t="e">
        <f>(VLOOKUP(E214,Table6[#All],3,0))/(VLOOKUP(E214,Table6[#All],7,0))*F214</f>
        <v>#N/A</v>
      </c>
      <c r="AC214" t="e">
        <f t="shared" si="14"/>
        <v>#N/A</v>
      </c>
    </row>
    <row r="215" spans="3:29" x14ac:dyDescent="0.4">
      <c r="C215" s="31"/>
      <c r="D215" s="235"/>
      <c r="E215" s="31"/>
      <c r="F215" s="236"/>
      <c r="G215" s="237"/>
      <c r="Y215" s="348" t="e">
        <f t="shared" si="12"/>
        <v>#N/A</v>
      </c>
      <c r="Z215" s="349" t="e">
        <f t="shared" si="13"/>
        <v>#N/A</v>
      </c>
      <c r="AA215" s="46" t="e">
        <f>(VLOOKUP(E215,Table6[#All],4,0))/(VLOOKUP(E215,Table6[#All],6,0))*F215</f>
        <v>#N/A</v>
      </c>
      <c r="AB215" s="47" t="e">
        <f>(VLOOKUP(E215,Table6[#All],3,0))/(VLOOKUP(E215,Table6[#All],7,0))*F215</f>
        <v>#N/A</v>
      </c>
      <c r="AC215" t="e">
        <f t="shared" si="14"/>
        <v>#N/A</v>
      </c>
    </row>
    <row r="216" spans="3:29" x14ac:dyDescent="0.4">
      <c r="C216" s="31"/>
      <c r="D216" s="235"/>
      <c r="E216" s="31"/>
      <c r="F216" s="236"/>
      <c r="G216" s="237"/>
      <c r="Y216" s="348" t="e">
        <f t="shared" si="12"/>
        <v>#N/A</v>
      </c>
      <c r="Z216" s="349" t="e">
        <f t="shared" si="13"/>
        <v>#N/A</v>
      </c>
      <c r="AA216" s="46" t="e">
        <f>(VLOOKUP(E216,Table6[#All],4,0))/(VLOOKUP(E216,Table6[#All],6,0))*F216</f>
        <v>#N/A</v>
      </c>
      <c r="AB216" s="47" t="e">
        <f>(VLOOKUP(E216,Table6[#All],3,0))/(VLOOKUP(E216,Table6[#All],7,0))*F216</f>
        <v>#N/A</v>
      </c>
      <c r="AC216" t="e">
        <f t="shared" si="14"/>
        <v>#N/A</v>
      </c>
    </row>
    <row r="217" spans="3:29" x14ac:dyDescent="0.4">
      <c r="C217" s="31"/>
      <c r="D217" s="235"/>
      <c r="E217" s="31"/>
      <c r="F217" s="236"/>
      <c r="G217" s="237"/>
      <c r="Y217" s="348" t="e">
        <f t="shared" si="12"/>
        <v>#N/A</v>
      </c>
      <c r="Z217" s="349" t="e">
        <f t="shared" si="13"/>
        <v>#N/A</v>
      </c>
      <c r="AA217" s="46" t="e">
        <f>(VLOOKUP(E217,Table6[#All],4,0))/(VLOOKUP(E217,Table6[#All],6,0))*F217</f>
        <v>#N/A</v>
      </c>
      <c r="AB217" s="47" t="e">
        <f>(VLOOKUP(E217,Table6[#All],3,0))/(VLOOKUP(E217,Table6[#All],7,0))*F217</f>
        <v>#N/A</v>
      </c>
      <c r="AC217" t="e">
        <f t="shared" si="14"/>
        <v>#N/A</v>
      </c>
    </row>
    <row r="218" spans="3:29" x14ac:dyDescent="0.4">
      <c r="C218" s="31"/>
      <c r="D218" s="235"/>
      <c r="E218" s="31"/>
      <c r="F218" s="236"/>
      <c r="G218" s="237"/>
      <c r="Y218" s="348" t="e">
        <f t="shared" si="12"/>
        <v>#N/A</v>
      </c>
      <c r="Z218" s="349" t="e">
        <f t="shared" si="13"/>
        <v>#N/A</v>
      </c>
      <c r="AA218" s="46" t="e">
        <f>(VLOOKUP(E218,Table6[#All],4,0))/(VLOOKUP(E218,Table6[#All],6,0))*F218</f>
        <v>#N/A</v>
      </c>
      <c r="AB218" s="47" t="e">
        <f>(VLOOKUP(E218,Table6[#All],3,0))/(VLOOKUP(E218,Table6[#All],7,0))*F218</f>
        <v>#N/A</v>
      </c>
      <c r="AC218" t="e">
        <f t="shared" si="14"/>
        <v>#N/A</v>
      </c>
    </row>
    <row r="219" spans="3:29" x14ac:dyDescent="0.4">
      <c r="C219" s="31"/>
      <c r="D219" s="235"/>
      <c r="E219" s="31"/>
      <c r="F219" s="236"/>
      <c r="G219" s="237"/>
      <c r="Y219" s="348" t="e">
        <f t="shared" si="12"/>
        <v>#N/A</v>
      </c>
      <c r="Z219" s="349" t="e">
        <f t="shared" si="13"/>
        <v>#N/A</v>
      </c>
      <c r="AA219" s="46" t="e">
        <f>(VLOOKUP(E219,Table6[#All],4,0))/(VLOOKUP(E219,Table6[#All],6,0))*F219</f>
        <v>#N/A</v>
      </c>
      <c r="AB219" s="47" t="e">
        <f>(VLOOKUP(E219,Table6[#All],3,0))/(VLOOKUP(E219,Table6[#All],7,0))*F219</f>
        <v>#N/A</v>
      </c>
      <c r="AC219" t="e">
        <f t="shared" si="14"/>
        <v>#N/A</v>
      </c>
    </row>
    <row r="220" spans="3:29" x14ac:dyDescent="0.4">
      <c r="C220" s="31"/>
      <c r="D220" s="235"/>
      <c r="E220" s="31"/>
      <c r="F220" s="236"/>
      <c r="G220" s="237"/>
      <c r="Y220" s="348" t="e">
        <f t="shared" si="12"/>
        <v>#N/A</v>
      </c>
      <c r="Z220" s="349" t="e">
        <f t="shared" si="13"/>
        <v>#N/A</v>
      </c>
      <c r="AA220" s="46" t="e">
        <f>(VLOOKUP(E220,Table6[#All],4,0))/(VLOOKUP(E220,Table6[#All],6,0))*F220</f>
        <v>#N/A</v>
      </c>
      <c r="AB220" s="47" t="e">
        <f>(VLOOKUP(E220,Table6[#All],3,0))/(VLOOKUP(E220,Table6[#All],7,0))*F220</f>
        <v>#N/A</v>
      </c>
      <c r="AC220" t="e">
        <f t="shared" si="14"/>
        <v>#N/A</v>
      </c>
    </row>
    <row r="221" spans="3:29" x14ac:dyDescent="0.4">
      <c r="C221" s="31"/>
      <c r="D221" s="235"/>
      <c r="E221" s="31"/>
      <c r="F221" s="236"/>
      <c r="G221" s="237"/>
      <c r="Y221" s="348" t="e">
        <f t="shared" si="12"/>
        <v>#N/A</v>
      </c>
      <c r="Z221" s="349" t="e">
        <f t="shared" si="13"/>
        <v>#N/A</v>
      </c>
      <c r="AA221" s="46" t="e">
        <f>(VLOOKUP(E221,Table6[#All],4,0))/(VLOOKUP(E221,Table6[#All],6,0))*F221</f>
        <v>#N/A</v>
      </c>
      <c r="AB221" s="47" t="e">
        <f>(VLOOKUP(E221,Table6[#All],3,0))/(VLOOKUP(E221,Table6[#All],7,0))*F221</f>
        <v>#N/A</v>
      </c>
      <c r="AC221" t="e">
        <f t="shared" si="14"/>
        <v>#N/A</v>
      </c>
    </row>
    <row r="222" spans="3:29" x14ac:dyDescent="0.4">
      <c r="C222" s="31"/>
      <c r="D222" s="235"/>
      <c r="E222" s="31"/>
      <c r="F222" s="236"/>
      <c r="G222" s="237"/>
      <c r="Y222" s="348" t="e">
        <f t="shared" si="12"/>
        <v>#N/A</v>
      </c>
      <c r="Z222" s="349" t="e">
        <f t="shared" si="13"/>
        <v>#N/A</v>
      </c>
      <c r="AA222" s="46" t="e">
        <f>(VLOOKUP(E222,Table6[#All],4,0))/(VLOOKUP(E222,Table6[#All],6,0))*F222</f>
        <v>#N/A</v>
      </c>
      <c r="AB222" s="47" t="e">
        <f>(VLOOKUP(E222,Table6[#All],3,0))/(VLOOKUP(E222,Table6[#All],7,0))*F222</f>
        <v>#N/A</v>
      </c>
      <c r="AC222" t="e">
        <f t="shared" si="14"/>
        <v>#N/A</v>
      </c>
    </row>
    <row r="223" spans="3:29" x14ac:dyDescent="0.4">
      <c r="C223" s="31"/>
      <c r="D223" s="235"/>
      <c r="E223" s="31"/>
      <c r="F223" s="236"/>
      <c r="G223" s="237"/>
      <c r="Y223" s="348" t="e">
        <f t="shared" si="12"/>
        <v>#N/A</v>
      </c>
      <c r="Z223" s="349" t="e">
        <f t="shared" si="13"/>
        <v>#N/A</v>
      </c>
      <c r="AA223" s="46" t="e">
        <f>(VLOOKUP(E223,Table6[#All],4,0))/(VLOOKUP(E223,Table6[#All],6,0))*F223</f>
        <v>#N/A</v>
      </c>
      <c r="AB223" s="47" t="e">
        <f>(VLOOKUP(E223,Table6[#All],3,0))/(VLOOKUP(E223,Table6[#All],7,0))*F223</f>
        <v>#N/A</v>
      </c>
      <c r="AC223" t="e">
        <f t="shared" si="14"/>
        <v>#N/A</v>
      </c>
    </row>
    <row r="224" spans="3:29" x14ac:dyDescent="0.4">
      <c r="C224" s="31"/>
      <c r="D224" s="235"/>
      <c r="E224" s="31"/>
      <c r="F224" s="236"/>
      <c r="G224" s="237"/>
      <c r="Y224" s="348" t="e">
        <f t="shared" si="12"/>
        <v>#N/A</v>
      </c>
      <c r="Z224" s="349" t="e">
        <f t="shared" si="13"/>
        <v>#N/A</v>
      </c>
      <c r="AA224" s="46" t="e">
        <f>(VLOOKUP(E224,Table6[#All],4,0))/(VLOOKUP(E224,Table6[#All],6,0))*F224</f>
        <v>#N/A</v>
      </c>
      <c r="AB224" s="47" t="e">
        <f>(VLOOKUP(E224,Table6[#All],3,0))/(VLOOKUP(E224,Table6[#All],7,0))*F224</f>
        <v>#N/A</v>
      </c>
      <c r="AC224" t="e">
        <f t="shared" si="14"/>
        <v>#N/A</v>
      </c>
    </row>
    <row r="225" spans="3:29" x14ac:dyDescent="0.4">
      <c r="C225" s="31"/>
      <c r="D225" s="235"/>
      <c r="E225" s="31"/>
      <c r="F225" s="236"/>
      <c r="G225" s="237"/>
      <c r="Y225" s="348" t="e">
        <f t="shared" si="12"/>
        <v>#N/A</v>
      </c>
      <c r="Z225" s="349" t="e">
        <f t="shared" si="13"/>
        <v>#N/A</v>
      </c>
      <c r="AA225" s="46" t="e">
        <f>(VLOOKUP(E225,Table6[#All],4,0))/(VLOOKUP(E225,Table6[#All],6,0))*F225</f>
        <v>#N/A</v>
      </c>
      <c r="AB225" s="47" t="e">
        <f>(VLOOKUP(E225,Table6[#All],3,0))/(VLOOKUP(E225,Table6[#All],7,0))*F225</f>
        <v>#N/A</v>
      </c>
      <c r="AC225" t="e">
        <f t="shared" si="14"/>
        <v>#N/A</v>
      </c>
    </row>
    <row r="226" spans="3:29" x14ac:dyDescent="0.4">
      <c r="C226" s="31"/>
      <c r="D226" s="235"/>
      <c r="E226" s="31"/>
      <c r="F226" s="236"/>
      <c r="G226" s="237"/>
      <c r="Y226" s="348" t="e">
        <f t="shared" si="12"/>
        <v>#N/A</v>
      </c>
      <c r="Z226" s="349" t="e">
        <f t="shared" si="13"/>
        <v>#N/A</v>
      </c>
      <c r="AA226" s="46" t="e">
        <f>(VLOOKUP(E226,Table6[#All],4,0))/(VLOOKUP(E226,Table6[#All],6,0))*F226</f>
        <v>#N/A</v>
      </c>
      <c r="AB226" s="47" t="e">
        <f>(VLOOKUP(E226,Table6[#All],3,0))/(VLOOKUP(E226,Table6[#All],7,0))*F226</f>
        <v>#N/A</v>
      </c>
      <c r="AC226" t="e">
        <f t="shared" si="14"/>
        <v>#N/A</v>
      </c>
    </row>
    <row r="227" spans="3:29" x14ac:dyDescent="0.4">
      <c r="C227" s="31"/>
      <c r="D227" s="235"/>
      <c r="E227" s="31"/>
      <c r="F227" s="236"/>
      <c r="G227" s="237"/>
      <c r="Y227" s="348" t="e">
        <f t="shared" si="12"/>
        <v>#N/A</v>
      </c>
      <c r="Z227" s="349" t="e">
        <f t="shared" si="13"/>
        <v>#N/A</v>
      </c>
      <c r="AA227" s="46" t="e">
        <f>(VLOOKUP(E227,Table6[#All],4,0))/(VLOOKUP(E227,Table6[#All],6,0))*F227</f>
        <v>#N/A</v>
      </c>
      <c r="AB227" s="47" t="e">
        <f>(VLOOKUP(E227,Table6[#All],3,0))/(VLOOKUP(E227,Table6[#All],7,0))*F227</f>
        <v>#N/A</v>
      </c>
      <c r="AC227" t="e">
        <f t="shared" si="14"/>
        <v>#N/A</v>
      </c>
    </row>
    <row r="228" spans="3:29" x14ac:dyDescent="0.4">
      <c r="C228" s="31"/>
      <c r="D228" s="235"/>
      <c r="E228" s="31"/>
      <c r="F228" s="236"/>
      <c r="G228" s="237"/>
      <c r="Y228" s="348" t="e">
        <f t="shared" si="12"/>
        <v>#N/A</v>
      </c>
      <c r="Z228" s="349" t="e">
        <f t="shared" si="13"/>
        <v>#N/A</v>
      </c>
      <c r="AA228" s="46" t="e">
        <f>(VLOOKUP(E228,Table6[#All],4,0))/(VLOOKUP(E228,Table6[#All],6,0))*F228</f>
        <v>#N/A</v>
      </c>
      <c r="AB228" s="47" t="e">
        <f>(VLOOKUP(E228,Table6[#All],3,0))/(VLOOKUP(E228,Table6[#All],7,0))*F228</f>
        <v>#N/A</v>
      </c>
      <c r="AC228" t="e">
        <f t="shared" si="14"/>
        <v>#N/A</v>
      </c>
    </row>
    <row r="229" spans="3:29" x14ac:dyDescent="0.4">
      <c r="C229" s="31"/>
      <c r="D229" s="235"/>
      <c r="E229" s="31"/>
      <c r="F229" s="236"/>
      <c r="G229" s="237"/>
      <c r="Y229" s="348" t="e">
        <f t="shared" si="12"/>
        <v>#N/A</v>
      </c>
      <c r="Z229" s="349" t="e">
        <f t="shared" si="13"/>
        <v>#N/A</v>
      </c>
      <c r="AA229" s="46" t="e">
        <f>(VLOOKUP(E229,Table6[#All],4,0))/(VLOOKUP(E229,Table6[#All],6,0))*F229</f>
        <v>#N/A</v>
      </c>
      <c r="AB229" s="47" t="e">
        <f>(VLOOKUP(E229,Table6[#All],3,0))/(VLOOKUP(E229,Table6[#All],7,0))*F229</f>
        <v>#N/A</v>
      </c>
      <c r="AC229" t="e">
        <f t="shared" si="14"/>
        <v>#N/A</v>
      </c>
    </row>
    <row r="230" spans="3:29" x14ac:dyDescent="0.4">
      <c r="C230" s="31"/>
      <c r="D230" s="235"/>
      <c r="E230" s="31"/>
      <c r="F230" s="236"/>
      <c r="G230" s="237"/>
      <c r="Y230" s="348" t="e">
        <f t="shared" si="12"/>
        <v>#N/A</v>
      </c>
      <c r="Z230" s="349" t="e">
        <f t="shared" si="13"/>
        <v>#N/A</v>
      </c>
      <c r="AA230" s="46" t="e">
        <f>(VLOOKUP(E230,Table6[#All],4,0))/(VLOOKUP(E230,Table6[#All],6,0))*F230</f>
        <v>#N/A</v>
      </c>
      <c r="AB230" s="47" t="e">
        <f>(VLOOKUP(E230,Table6[#All],3,0))/(VLOOKUP(E230,Table6[#All],7,0))*F230</f>
        <v>#N/A</v>
      </c>
      <c r="AC230" t="e">
        <f t="shared" si="14"/>
        <v>#N/A</v>
      </c>
    </row>
    <row r="231" spans="3:29" x14ac:dyDescent="0.4">
      <c r="C231" s="31"/>
      <c r="D231" s="235"/>
      <c r="E231" s="31"/>
      <c r="F231" s="236"/>
      <c r="G231" s="237"/>
      <c r="Y231" s="348" t="e">
        <f t="shared" si="12"/>
        <v>#N/A</v>
      </c>
      <c r="Z231" s="349" t="e">
        <f t="shared" si="13"/>
        <v>#N/A</v>
      </c>
      <c r="AA231" s="46" t="e">
        <f>(VLOOKUP(E231,Table6[#All],4,0))/(VLOOKUP(E231,Table6[#All],6,0))*F231</f>
        <v>#N/A</v>
      </c>
      <c r="AB231" s="47" t="e">
        <f>(VLOOKUP(E231,Table6[#All],3,0))/(VLOOKUP(E231,Table6[#All],7,0))*F231</f>
        <v>#N/A</v>
      </c>
      <c r="AC231" t="e">
        <f t="shared" si="14"/>
        <v>#N/A</v>
      </c>
    </row>
    <row r="232" spans="3:29" x14ac:dyDescent="0.4">
      <c r="C232" s="31"/>
      <c r="D232" s="235"/>
      <c r="E232" s="31"/>
      <c r="F232" s="236"/>
      <c r="G232" s="237"/>
      <c r="Y232" s="348" t="e">
        <f t="shared" si="12"/>
        <v>#N/A</v>
      </c>
      <c r="Z232" s="349" t="e">
        <f t="shared" si="13"/>
        <v>#N/A</v>
      </c>
      <c r="AA232" s="46" t="e">
        <f>(VLOOKUP(E232,Table6[#All],4,0))/(VLOOKUP(E232,Table6[#All],6,0))*F232</f>
        <v>#N/A</v>
      </c>
      <c r="AB232" s="47" t="e">
        <f>(VLOOKUP(E232,Table6[#All],3,0))/(VLOOKUP(E232,Table6[#All],7,0))*F232</f>
        <v>#N/A</v>
      </c>
      <c r="AC232" t="e">
        <f t="shared" si="14"/>
        <v>#N/A</v>
      </c>
    </row>
    <row r="233" spans="3:29" x14ac:dyDescent="0.4">
      <c r="C233" s="31"/>
      <c r="D233" s="235"/>
      <c r="E233" s="31"/>
      <c r="F233" s="236"/>
      <c r="G233" s="237"/>
      <c r="Y233" s="348" t="e">
        <f t="shared" si="12"/>
        <v>#N/A</v>
      </c>
      <c r="Z233" s="349" t="e">
        <f t="shared" si="13"/>
        <v>#N/A</v>
      </c>
      <c r="AA233" s="46" t="e">
        <f>(VLOOKUP(E233,Table6[#All],4,0))/(VLOOKUP(E233,Table6[#All],6,0))*F233</f>
        <v>#N/A</v>
      </c>
      <c r="AB233" s="47" t="e">
        <f>(VLOOKUP(E233,Table6[#All],3,0))/(VLOOKUP(E233,Table6[#All],7,0))*F233</f>
        <v>#N/A</v>
      </c>
      <c r="AC233" t="e">
        <f t="shared" si="14"/>
        <v>#N/A</v>
      </c>
    </row>
    <row r="234" spans="3:29" x14ac:dyDescent="0.4">
      <c r="C234" s="31"/>
      <c r="D234" s="235"/>
      <c r="E234" s="31"/>
      <c r="F234" s="236"/>
      <c r="G234" s="237"/>
      <c r="Y234" s="348" t="e">
        <f t="shared" si="12"/>
        <v>#N/A</v>
      </c>
      <c r="Z234" s="349" t="e">
        <f t="shared" si="13"/>
        <v>#N/A</v>
      </c>
      <c r="AA234" s="46" t="e">
        <f>(VLOOKUP(E234,Table6[#All],4,0))/(VLOOKUP(E234,Table6[#All],6,0))*F234</f>
        <v>#N/A</v>
      </c>
      <c r="AB234" s="47" t="e">
        <f>(VLOOKUP(E234,Table6[#All],3,0))/(VLOOKUP(E234,Table6[#All],7,0))*F234</f>
        <v>#N/A</v>
      </c>
      <c r="AC234" t="e">
        <f t="shared" si="14"/>
        <v>#N/A</v>
      </c>
    </row>
    <row r="235" spans="3:29" x14ac:dyDescent="0.4">
      <c r="C235" s="31"/>
      <c r="D235" s="235"/>
      <c r="E235" s="31"/>
      <c r="F235" s="236"/>
      <c r="G235" s="237"/>
      <c r="Y235" s="348" t="e">
        <f t="shared" si="12"/>
        <v>#N/A</v>
      </c>
      <c r="Z235" s="349" t="e">
        <f t="shared" si="13"/>
        <v>#N/A</v>
      </c>
      <c r="AA235" s="46" t="e">
        <f>(VLOOKUP(E235,Table6[#All],4,0))/(VLOOKUP(E235,Table6[#All],6,0))*F235</f>
        <v>#N/A</v>
      </c>
      <c r="AB235" s="47" t="e">
        <f>(VLOOKUP(E235,Table6[#All],3,0))/(VLOOKUP(E235,Table6[#All],7,0))*F235</f>
        <v>#N/A</v>
      </c>
      <c r="AC235" t="e">
        <f t="shared" si="14"/>
        <v>#N/A</v>
      </c>
    </row>
    <row r="236" spans="3:29" x14ac:dyDescent="0.4">
      <c r="C236" s="31"/>
      <c r="D236" s="235"/>
      <c r="E236" s="31"/>
      <c r="F236" s="236"/>
      <c r="G236" s="237"/>
      <c r="Y236" s="348" t="e">
        <f t="shared" si="12"/>
        <v>#N/A</v>
      </c>
      <c r="Z236" s="349" t="e">
        <f t="shared" si="13"/>
        <v>#N/A</v>
      </c>
      <c r="AA236" s="46" t="e">
        <f>(VLOOKUP(E236,Table6[#All],4,0))/(VLOOKUP(E236,Table6[#All],6,0))*F236</f>
        <v>#N/A</v>
      </c>
      <c r="AB236" s="47" t="e">
        <f>(VLOOKUP(E236,Table6[#All],3,0))/(VLOOKUP(E236,Table6[#All],7,0))*F236</f>
        <v>#N/A</v>
      </c>
      <c r="AC236" t="e">
        <f t="shared" si="14"/>
        <v>#N/A</v>
      </c>
    </row>
    <row r="237" spans="3:29" x14ac:dyDescent="0.4">
      <c r="C237" s="31"/>
      <c r="D237" s="235"/>
      <c r="E237" s="31"/>
      <c r="F237" s="236"/>
      <c r="G237" s="237"/>
      <c r="Y237" s="348" t="e">
        <f t="shared" si="12"/>
        <v>#N/A</v>
      </c>
      <c r="Z237" s="349" t="e">
        <f t="shared" si="13"/>
        <v>#N/A</v>
      </c>
      <c r="AA237" s="46" t="e">
        <f>(VLOOKUP(E237,Table6[#All],4,0))/(VLOOKUP(E237,Table6[#All],6,0))*F237</f>
        <v>#N/A</v>
      </c>
      <c r="AB237" s="47" t="e">
        <f>(VLOOKUP(E237,Table6[#All],3,0))/(VLOOKUP(E237,Table6[#All],7,0))*F237</f>
        <v>#N/A</v>
      </c>
      <c r="AC237" t="e">
        <f t="shared" si="14"/>
        <v>#N/A</v>
      </c>
    </row>
    <row r="238" spans="3:29" x14ac:dyDescent="0.4">
      <c r="C238" s="31"/>
      <c r="D238" s="235"/>
      <c r="E238" s="31"/>
      <c r="F238" s="236"/>
      <c r="G238" s="237"/>
      <c r="Y238" s="348" t="e">
        <f t="shared" si="12"/>
        <v>#N/A</v>
      </c>
      <c r="Z238" s="349" t="e">
        <f t="shared" si="13"/>
        <v>#N/A</v>
      </c>
      <c r="AA238" s="46" t="e">
        <f>(VLOOKUP(E238,Table6[#All],4,0))/(VLOOKUP(E238,Table6[#All],6,0))*F238</f>
        <v>#N/A</v>
      </c>
      <c r="AB238" s="47" t="e">
        <f>(VLOOKUP(E238,Table6[#All],3,0))/(VLOOKUP(E238,Table6[#All],7,0))*F238</f>
        <v>#N/A</v>
      </c>
      <c r="AC238" t="e">
        <f t="shared" si="14"/>
        <v>#N/A</v>
      </c>
    </row>
    <row r="239" spans="3:29" x14ac:dyDescent="0.4">
      <c r="C239" s="31"/>
      <c r="D239" s="235"/>
      <c r="E239" s="31"/>
      <c r="F239" s="236"/>
      <c r="G239" s="237"/>
      <c r="Y239" s="348" t="e">
        <f t="shared" si="12"/>
        <v>#N/A</v>
      </c>
      <c r="Z239" s="349" t="e">
        <f t="shared" si="13"/>
        <v>#N/A</v>
      </c>
      <c r="AA239" s="46" t="e">
        <f>(VLOOKUP(E239,Table6[#All],4,0))/(VLOOKUP(E239,Table6[#All],6,0))*F239</f>
        <v>#N/A</v>
      </c>
      <c r="AB239" s="47" t="e">
        <f>(VLOOKUP(E239,Table6[#All],3,0))/(VLOOKUP(E239,Table6[#All],7,0))*F239</f>
        <v>#N/A</v>
      </c>
      <c r="AC239" t="e">
        <f t="shared" si="14"/>
        <v>#N/A</v>
      </c>
    </row>
    <row r="240" spans="3:29" x14ac:dyDescent="0.4">
      <c r="C240" s="31"/>
      <c r="D240" s="235"/>
      <c r="E240" s="31"/>
      <c r="F240" s="236"/>
      <c r="G240" s="237"/>
      <c r="Y240" s="348" t="e">
        <f t="shared" si="12"/>
        <v>#N/A</v>
      </c>
      <c r="Z240" s="349" t="e">
        <f t="shared" si="13"/>
        <v>#N/A</v>
      </c>
      <c r="AA240" s="46" t="e">
        <f>(VLOOKUP(E240,Table6[#All],4,0))/(VLOOKUP(E240,Table6[#All],6,0))*F240</f>
        <v>#N/A</v>
      </c>
      <c r="AB240" s="47" t="e">
        <f>(VLOOKUP(E240,Table6[#All],3,0))/(VLOOKUP(E240,Table6[#All],7,0))*F240</f>
        <v>#N/A</v>
      </c>
      <c r="AC240" t="e">
        <f t="shared" si="14"/>
        <v>#N/A</v>
      </c>
    </row>
    <row r="241" spans="3:29" x14ac:dyDescent="0.4">
      <c r="C241" s="31"/>
      <c r="D241" s="235"/>
      <c r="E241" s="31"/>
      <c r="F241" s="236"/>
      <c r="G241" s="237"/>
      <c r="Y241" s="348" t="e">
        <f t="shared" si="12"/>
        <v>#N/A</v>
      </c>
      <c r="Z241" s="349" t="e">
        <f t="shared" si="13"/>
        <v>#N/A</v>
      </c>
      <c r="AA241" s="46" t="e">
        <f>(VLOOKUP(E241,Table6[#All],4,0))/(VLOOKUP(E241,Table6[#All],6,0))*F241</f>
        <v>#N/A</v>
      </c>
      <c r="AB241" s="47" t="e">
        <f>(VLOOKUP(E241,Table6[#All],3,0))/(VLOOKUP(E241,Table6[#All],7,0))*F241</f>
        <v>#N/A</v>
      </c>
      <c r="AC241" t="e">
        <f t="shared" si="14"/>
        <v>#N/A</v>
      </c>
    </row>
    <row r="242" spans="3:29" x14ac:dyDescent="0.4">
      <c r="C242" s="31"/>
      <c r="D242" s="235"/>
      <c r="E242" s="31"/>
      <c r="F242" s="236"/>
      <c r="G242" s="237"/>
      <c r="Y242" s="348" t="e">
        <f t="shared" si="12"/>
        <v>#N/A</v>
      </c>
      <c r="Z242" s="349" t="e">
        <f t="shared" si="13"/>
        <v>#N/A</v>
      </c>
      <c r="AA242" s="46" t="e">
        <f>(VLOOKUP(E242,Table6[#All],4,0))/(VLOOKUP(E242,Table6[#All],6,0))*F242</f>
        <v>#N/A</v>
      </c>
      <c r="AB242" s="47" t="e">
        <f>(VLOOKUP(E242,Table6[#All],3,0))/(VLOOKUP(E242,Table6[#All],7,0))*F242</f>
        <v>#N/A</v>
      </c>
      <c r="AC242" t="e">
        <f t="shared" si="14"/>
        <v>#N/A</v>
      </c>
    </row>
    <row r="243" spans="3:29" x14ac:dyDescent="0.4">
      <c r="C243" s="31"/>
      <c r="D243" s="235"/>
      <c r="E243" s="31"/>
      <c r="F243" s="236"/>
      <c r="G243" s="237"/>
      <c r="Y243" s="348" t="e">
        <f t="shared" si="12"/>
        <v>#N/A</v>
      </c>
      <c r="Z243" s="349" t="e">
        <f t="shared" si="13"/>
        <v>#N/A</v>
      </c>
      <c r="AA243" s="46" t="e">
        <f>(VLOOKUP(E243,Table6[#All],4,0))/(VLOOKUP(E243,Table6[#All],6,0))*F243</f>
        <v>#N/A</v>
      </c>
      <c r="AB243" s="47" t="e">
        <f>(VLOOKUP(E243,Table6[#All],3,0))/(VLOOKUP(E243,Table6[#All],7,0))*F243</f>
        <v>#N/A</v>
      </c>
      <c r="AC243" t="e">
        <f t="shared" si="14"/>
        <v>#N/A</v>
      </c>
    </row>
    <row r="244" spans="3:29" x14ac:dyDescent="0.4">
      <c r="C244" s="31"/>
      <c r="D244" s="235"/>
      <c r="E244" s="31"/>
      <c r="F244" s="236"/>
      <c r="G244" s="237"/>
      <c r="Y244" s="348" t="e">
        <f t="shared" si="12"/>
        <v>#N/A</v>
      </c>
      <c r="Z244" s="349" t="e">
        <f t="shared" si="13"/>
        <v>#N/A</v>
      </c>
      <c r="AA244" s="46" t="e">
        <f>(VLOOKUP(E244,Table6[#All],4,0))/(VLOOKUP(E244,Table6[#All],6,0))*F244</f>
        <v>#N/A</v>
      </c>
      <c r="AB244" s="47" t="e">
        <f>(VLOOKUP(E244,Table6[#All],3,0))/(VLOOKUP(E244,Table6[#All],7,0))*F244</f>
        <v>#N/A</v>
      </c>
      <c r="AC244" t="e">
        <f t="shared" si="14"/>
        <v>#N/A</v>
      </c>
    </row>
    <row r="245" spans="3:29" x14ac:dyDescent="0.4">
      <c r="C245" s="31"/>
      <c r="D245" s="235"/>
      <c r="E245" s="31"/>
      <c r="F245" s="236"/>
      <c r="G245" s="237"/>
      <c r="Y245" s="348" t="e">
        <f t="shared" si="12"/>
        <v>#N/A</v>
      </c>
      <c r="Z245" s="349" t="e">
        <f t="shared" si="13"/>
        <v>#N/A</v>
      </c>
      <c r="AA245" s="46" t="e">
        <f>(VLOOKUP(E245,Table6[#All],4,0))/(VLOOKUP(E245,Table6[#All],6,0))*F245</f>
        <v>#N/A</v>
      </c>
      <c r="AB245" s="47" t="e">
        <f>(VLOOKUP(E245,Table6[#All],3,0))/(VLOOKUP(E245,Table6[#All],7,0))*F245</f>
        <v>#N/A</v>
      </c>
      <c r="AC245" t="e">
        <f t="shared" si="14"/>
        <v>#N/A</v>
      </c>
    </row>
    <row r="246" spans="3:29" x14ac:dyDescent="0.4">
      <c r="C246" s="31"/>
      <c r="D246" s="235"/>
      <c r="E246" s="31"/>
      <c r="F246" s="236"/>
      <c r="G246" s="237"/>
      <c r="Y246" s="348" t="e">
        <f t="shared" si="12"/>
        <v>#N/A</v>
      </c>
      <c r="Z246" s="349" t="e">
        <f t="shared" si="13"/>
        <v>#N/A</v>
      </c>
      <c r="AA246" s="46" t="e">
        <f>(VLOOKUP(E246,Table6[#All],4,0))/(VLOOKUP(E246,Table6[#All],6,0))*F246</f>
        <v>#N/A</v>
      </c>
      <c r="AB246" s="47" t="e">
        <f>(VLOOKUP(E246,Table6[#All],3,0))/(VLOOKUP(E246,Table6[#All],7,0))*F246</f>
        <v>#N/A</v>
      </c>
      <c r="AC246" t="e">
        <f t="shared" si="14"/>
        <v>#N/A</v>
      </c>
    </row>
    <row r="247" spans="3:29" x14ac:dyDescent="0.4">
      <c r="C247" s="31"/>
      <c r="D247" s="235"/>
      <c r="E247" s="31"/>
      <c r="F247" s="236"/>
      <c r="G247" s="237"/>
      <c r="Y247" s="348" t="e">
        <f t="shared" si="12"/>
        <v>#N/A</v>
      </c>
      <c r="Z247" s="349" t="e">
        <f t="shared" si="13"/>
        <v>#N/A</v>
      </c>
      <c r="AA247" s="46" t="e">
        <f>(VLOOKUP(E247,Table6[#All],4,0))/(VLOOKUP(E247,Table6[#All],6,0))*F247</f>
        <v>#N/A</v>
      </c>
      <c r="AB247" s="47" t="e">
        <f>(VLOOKUP(E247,Table6[#All],3,0))/(VLOOKUP(E247,Table6[#All],7,0))*F247</f>
        <v>#N/A</v>
      </c>
      <c r="AC247" t="e">
        <f t="shared" si="14"/>
        <v>#N/A</v>
      </c>
    </row>
    <row r="248" spans="3:29" x14ac:dyDescent="0.4">
      <c r="C248" s="31"/>
      <c r="D248" s="235"/>
      <c r="E248" s="31"/>
      <c r="F248" s="236"/>
      <c r="G248" s="237"/>
      <c r="Y248" s="348" t="e">
        <f t="shared" si="12"/>
        <v>#N/A</v>
      </c>
      <c r="Z248" s="349" t="e">
        <f t="shared" si="13"/>
        <v>#N/A</v>
      </c>
      <c r="AA248" s="46" t="e">
        <f>(VLOOKUP(E248,Table6[#All],4,0))/(VLOOKUP(E248,Table6[#All],6,0))*F248</f>
        <v>#N/A</v>
      </c>
      <c r="AB248" s="47" t="e">
        <f>(VLOOKUP(E248,Table6[#All],3,0))/(VLOOKUP(E248,Table6[#All],7,0))*F248</f>
        <v>#N/A</v>
      </c>
      <c r="AC248" t="e">
        <f t="shared" si="14"/>
        <v>#N/A</v>
      </c>
    </row>
    <row r="249" spans="3:29" x14ac:dyDescent="0.4">
      <c r="C249" s="31"/>
      <c r="D249" s="235"/>
      <c r="E249" s="31"/>
      <c r="F249" s="236"/>
      <c r="G249" s="237"/>
      <c r="Y249" s="348" t="e">
        <f t="shared" si="12"/>
        <v>#N/A</v>
      </c>
      <c r="Z249" s="349" t="e">
        <f t="shared" si="13"/>
        <v>#N/A</v>
      </c>
      <c r="AA249" s="46" t="e">
        <f>(VLOOKUP(E249,Table6[#All],4,0))/(VLOOKUP(E249,Table6[#All],6,0))*F249</f>
        <v>#N/A</v>
      </c>
      <c r="AB249" s="47" t="e">
        <f>(VLOOKUP(E249,Table6[#All],3,0))/(VLOOKUP(E249,Table6[#All],7,0))*F249</f>
        <v>#N/A</v>
      </c>
      <c r="AC249" t="e">
        <f t="shared" si="14"/>
        <v>#N/A</v>
      </c>
    </row>
    <row r="250" spans="3:29" x14ac:dyDescent="0.4">
      <c r="C250" s="31"/>
      <c r="D250" s="235"/>
      <c r="E250" s="31"/>
      <c r="F250" s="236"/>
      <c r="G250" s="237"/>
      <c r="Y250" s="348" t="e">
        <f t="shared" si="12"/>
        <v>#N/A</v>
      </c>
      <c r="Z250" s="349" t="e">
        <f t="shared" si="13"/>
        <v>#N/A</v>
      </c>
      <c r="AA250" s="46" t="e">
        <f>(VLOOKUP(E250,Table6[#All],4,0))/(VLOOKUP(E250,Table6[#All],6,0))*F250</f>
        <v>#N/A</v>
      </c>
      <c r="AB250" s="47" t="e">
        <f>(VLOOKUP(E250,Table6[#All],3,0))/(VLOOKUP(E250,Table6[#All],7,0))*F250</f>
        <v>#N/A</v>
      </c>
      <c r="AC250" t="e">
        <f t="shared" si="14"/>
        <v>#N/A</v>
      </c>
    </row>
    <row r="251" spans="3:29" x14ac:dyDescent="0.4">
      <c r="C251" s="31"/>
      <c r="D251" s="235"/>
      <c r="E251" s="31"/>
      <c r="F251" s="236"/>
      <c r="G251" s="237"/>
      <c r="Y251" s="348" t="e">
        <f t="shared" si="12"/>
        <v>#N/A</v>
      </c>
      <c r="Z251" s="349" t="e">
        <f t="shared" si="13"/>
        <v>#N/A</v>
      </c>
      <c r="AA251" s="46" t="e">
        <f>(VLOOKUP(E251,Table6[#All],4,0))/(VLOOKUP(E251,Table6[#All],6,0))*F251</f>
        <v>#N/A</v>
      </c>
      <c r="AB251" s="47" t="e">
        <f>(VLOOKUP(E251,Table6[#All],3,0))/(VLOOKUP(E251,Table6[#All],7,0))*F251</f>
        <v>#N/A</v>
      </c>
      <c r="AC251" t="e">
        <f t="shared" si="14"/>
        <v>#N/A</v>
      </c>
    </row>
    <row r="252" spans="3:29" x14ac:dyDescent="0.4">
      <c r="C252" s="31"/>
      <c r="D252" s="235"/>
      <c r="E252" s="31"/>
      <c r="F252" s="236"/>
      <c r="G252" s="237"/>
      <c r="Y252" s="348" t="e">
        <f t="shared" si="12"/>
        <v>#N/A</v>
      </c>
      <c r="Z252" s="349" t="e">
        <f t="shared" si="13"/>
        <v>#N/A</v>
      </c>
      <c r="AA252" s="46" t="e">
        <f>(VLOOKUP(E252,Table6[#All],4,0))/(VLOOKUP(E252,Table6[#All],6,0))*F252</f>
        <v>#N/A</v>
      </c>
      <c r="AB252" s="47" t="e">
        <f>(VLOOKUP(E252,Table6[#All],3,0))/(VLOOKUP(E252,Table6[#All],7,0))*F252</f>
        <v>#N/A</v>
      </c>
      <c r="AC252" t="e">
        <f t="shared" si="14"/>
        <v>#N/A</v>
      </c>
    </row>
    <row r="253" spans="3:29" x14ac:dyDescent="0.4">
      <c r="C253" s="31"/>
      <c r="D253" s="235"/>
      <c r="E253" s="31"/>
      <c r="F253" s="236"/>
      <c r="G253" s="237"/>
      <c r="Y253" s="348" t="e">
        <f t="shared" si="12"/>
        <v>#N/A</v>
      </c>
      <c r="Z253" s="349" t="e">
        <f t="shared" si="13"/>
        <v>#N/A</v>
      </c>
      <c r="AA253" s="46" t="e">
        <f>(VLOOKUP(E253,Table6[#All],4,0))/(VLOOKUP(E253,Table6[#All],6,0))*F253</f>
        <v>#N/A</v>
      </c>
      <c r="AB253" s="47" t="e">
        <f>(VLOOKUP(E253,Table6[#All],3,0))/(VLOOKUP(E253,Table6[#All],7,0))*F253</f>
        <v>#N/A</v>
      </c>
      <c r="AC253" t="e">
        <f t="shared" si="14"/>
        <v>#N/A</v>
      </c>
    </row>
    <row r="254" spans="3:29" x14ac:dyDescent="0.4">
      <c r="C254" s="31"/>
      <c r="D254" s="235"/>
      <c r="E254" s="31"/>
      <c r="F254" s="236"/>
      <c r="G254" s="237"/>
      <c r="Y254" s="348" t="e">
        <f t="shared" si="12"/>
        <v>#N/A</v>
      </c>
      <c r="Z254" s="349" t="e">
        <f t="shared" si="13"/>
        <v>#N/A</v>
      </c>
      <c r="AA254" s="46" t="e">
        <f>(VLOOKUP(E254,Table6[#All],4,0))/(VLOOKUP(E254,Table6[#All],6,0))*F254</f>
        <v>#N/A</v>
      </c>
      <c r="AB254" s="47" t="e">
        <f>(VLOOKUP(E254,Table6[#All],3,0))/(VLOOKUP(E254,Table6[#All],7,0))*F254</f>
        <v>#N/A</v>
      </c>
      <c r="AC254" t="e">
        <f t="shared" si="14"/>
        <v>#N/A</v>
      </c>
    </row>
    <row r="255" spans="3:29" x14ac:dyDescent="0.4">
      <c r="C255" s="31"/>
      <c r="D255" s="235"/>
      <c r="E255" s="31"/>
      <c r="F255" s="236"/>
      <c r="G255" s="237"/>
      <c r="Y255" s="348" t="e">
        <f t="shared" si="12"/>
        <v>#N/A</v>
      </c>
      <c r="Z255" s="349" t="e">
        <f t="shared" si="13"/>
        <v>#N/A</v>
      </c>
      <c r="AA255" s="46" t="e">
        <f>(VLOOKUP(E255,Table6[#All],4,0))/(VLOOKUP(E255,Table6[#All],6,0))*F255</f>
        <v>#N/A</v>
      </c>
      <c r="AB255" s="47" t="e">
        <f>(VLOOKUP(E255,Table6[#All],3,0))/(VLOOKUP(E255,Table6[#All],7,0))*F255</f>
        <v>#N/A</v>
      </c>
      <c r="AC255" t="e">
        <f t="shared" si="14"/>
        <v>#N/A</v>
      </c>
    </row>
    <row r="256" spans="3:29" x14ac:dyDescent="0.4">
      <c r="C256" s="31"/>
      <c r="D256" s="235"/>
      <c r="E256" s="31"/>
      <c r="F256" s="236"/>
      <c r="G256" s="237"/>
      <c r="Y256" s="348" t="e">
        <f t="shared" ref="Y256:Y270" si="15">(VLOOKUP(E256, $C$4:$J$70, 8, 0))/100*F256</f>
        <v>#N/A</v>
      </c>
      <c r="Z256" s="349" t="e">
        <f t="shared" ref="Z256:Z270" si="16">(VLOOKUP(E256,$C$4:$J$70,4,0))*(VLOOKUP(E256,$C$4:$J$70,5,0))*F256*100</f>
        <v>#N/A</v>
      </c>
      <c r="AA256" s="46" t="e">
        <f>(VLOOKUP(E256,Table6[#All],4,0))/(VLOOKUP(E256,Table6[#All],6,0))*F256</f>
        <v>#N/A</v>
      </c>
      <c r="AB256" s="47" t="e">
        <f>(VLOOKUP(E256,Table6[#All],3,0))/(VLOOKUP(E256,Table6[#All],7,0))*F256</f>
        <v>#N/A</v>
      </c>
      <c r="AC256" t="e">
        <f t="shared" ref="AC256:AC270" si="17">(VLOOKUP(E256,$C$4:$J$70,5,0))*F256</f>
        <v>#N/A</v>
      </c>
    </row>
    <row r="257" spans="3:29" x14ac:dyDescent="0.4">
      <c r="C257" s="31"/>
      <c r="D257" s="235"/>
      <c r="E257" s="31"/>
      <c r="F257" s="236"/>
      <c r="G257" s="237"/>
      <c r="Y257" s="348" t="e">
        <f t="shared" si="15"/>
        <v>#N/A</v>
      </c>
      <c r="Z257" s="349" t="e">
        <f t="shared" si="16"/>
        <v>#N/A</v>
      </c>
      <c r="AA257" s="46" t="e">
        <f>(VLOOKUP(E257,Table6[#All],4,0))/(VLOOKUP(E257,Table6[#All],6,0))*F257</f>
        <v>#N/A</v>
      </c>
      <c r="AB257" s="47" t="e">
        <f>(VLOOKUP(E257,Table6[#All],3,0))/(VLOOKUP(E257,Table6[#All],7,0))*F257</f>
        <v>#N/A</v>
      </c>
      <c r="AC257" t="e">
        <f t="shared" si="17"/>
        <v>#N/A</v>
      </c>
    </row>
    <row r="258" spans="3:29" x14ac:dyDescent="0.4">
      <c r="C258" s="31"/>
      <c r="D258" s="235"/>
      <c r="E258" s="31"/>
      <c r="F258" s="236"/>
      <c r="G258" s="237"/>
      <c r="Y258" s="348" t="e">
        <f t="shared" si="15"/>
        <v>#N/A</v>
      </c>
      <c r="Z258" s="349" t="e">
        <f t="shared" si="16"/>
        <v>#N/A</v>
      </c>
      <c r="AA258" s="46" t="e">
        <f>(VLOOKUP(E258,Table6[#All],4,0))/(VLOOKUP(E258,Table6[#All],6,0))*F258</f>
        <v>#N/A</v>
      </c>
      <c r="AB258" s="47" t="e">
        <f>(VLOOKUP(E258,Table6[#All],3,0))/(VLOOKUP(E258,Table6[#All],7,0))*F258</f>
        <v>#N/A</v>
      </c>
      <c r="AC258" t="e">
        <f t="shared" si="17"/>
        <v>#N/A</v>
      </c>
    </row>
    <row r="259" spans="3:29" x14ac:dyDescent="0.4">
      <c r="C259" s="31"/>
      <c r="D259" s="235"/>
      <c r="E259" s="31"/>
      <c r="F259" s="236"/>
      <c r="G259" s="237"/>
      <c r="Y259" s="348" t="e">
        <f t="shared" si="15"/>
        <v>#N/A</v>
      </c>
      <c r="Z259" s="349" t="e">
        <f t="shared" si="16"/>
        <v>#N/A</v>
      </c>
      <c r="AA259" s="46" t="e">
        <f>(VLOOKUP(E259,Table6[#All],4,0))/(VLOOKUP(E259,Table6[#All],6,0))*F259</f>
        <v>#N/A</v>
      </c>
      <c r="AB259" s="47" t="e">
        <f>(VLOOKUP(E259,Table6[#All],3,0))/(VLOOKUP(E259,Table6[#All],7,0))*F259</f>
        <v>#N/A</v>
      </c>
      <c r="AC259" t="e">
        <f t="shared" si="17"/>
        <v>#N/A</v>
      </c>
    </row>
    <row r="260" spans="3:29" x14ac:dyDescent="0.4">
      <c r="C260" s="31"/>
      <c r="D260" s="235"/>
      <c r="E260" s="31"/>
      <c r="F260" s="236"/>
      <c r="G260" s="237"/>
      <c r="Y260" s="348" t="e">
        <f t="shared" si="15"/>
        <v>#N/A</v>
      </c>
      <c r="Z260" s="349" t="e">
        <f t="shared" si="16"/>
        <v>#N/A</v>
      </c>
      <c r="AA260" s="46" t="e">
        <f>(VLOOKUP(E260,Table6[#All],4,0))/(VLOOKUP(E260,Table6[#All],6,0))*F260</f>
        <v>#N/A</v>
      </c>
      <c r="AB260" s="47" t="e">
        <f>(VLOOKUP(E260,Table6[#All],3,0))/(VLOOKUP(E260,Table6[#All],7,0))*F260</f>
        <v>#N/A</v>
      </c>
      <c r="AC260" t="e">
        <f t="shared" si="17"/>
        <v>#N/A</v>
      </c>
    </row>
    <row r="261" spans="3:29" x14ac:dyDescent="0.4">
      <c r="C261" s="31"/>
      <c r="D261" s="235"/>
      <c r="E261" s="31"/>
      <c r="F261" s="236"/>
      <c r="G261" s="237"/>
      <c r="Y261" s="348" t="e">
        <f t="shared" si="15"/>
        <v>#N/A</v>
      </c>
      <c r="Z261" s="349" t="e">
        <f t="shared" si="16"/>
        <v>#N/A</v>
      </c>
      <c r="AA261" s="46" t="e">
        <f>(VLOOKUP(E261,Table6[#All],4,0))/(VLOOKUP(E261,Table6[#All],6,0))*F261</f>
        <v>#N/A</v>
      </c>
      <c r="AB261" s="47" t="e">
        <f>(VLOOKUP(E261,Table6[#All],3,0))/(VLOOKUP(E261,Table6[#All],7,0))*F261</f>
        <v>#N/A</v>
      </c>
      <c r="AC261" t="e">
        <f t="shared" si="17"/>
        <v>#N/A</v>
      </c>
    </row>
    <row r="262" spans="3:29" x14ac:dyDescent="0.4">
      <c r="C262" s="31"/>
      <c r="D262" s="235"/>
      <c r="E262" s="31"/>
      <c r="F262" s="236"/>
      <c r="G262" s="237"/>
      <c r="Y262" s="348" t="e">
        <f t="shared" si="15"/>
        <v>#N/A</v>
      </c>
      <c r="Z262" s="349" t="e">
        <f t="shared" si="16"/>
        <v>#N/A</v>
      </c>
      <c r="AA262" s="46" t="e">
        <f>(VLOOKUP(E262,Table6[#All],4,0))/(VLOOKUP(E262,Table6[#All],6,0))*F262</f>
        <v>#N/A</v>
      </c>
      <c r="AB262" s="47" t="e">
        <f>(VLOOKUP(E262,Table6[#All],3,0))/(VLOOKUP(E262,Table6[#All],7,0))*F262</f>
        <v>#N/A</v>
      </c>
      <c r="AC262" t="e">
        <f t="shared" si="17"/>
        <v>#N/A</v>
      </c>
    </row>
    <row r="263" spans="3:29" x14ac:dyDescent="0.4">
      <c r="C263" s="31"/>
      <c r="D263" s="235"/>
      <c r="E263" s="31"/>
      <c r="F263" s="236"/>
      <c r="G263" s="237"/>
      <c r="Y263" s="348" t="e">
        <f t="shared" si="15"/>
        <v>#N/A</v>
      </c>
      <c r="Z263" s="349" t="e">
        <f t="shared" si="16"/>
        <v>#N/A</v>
      </c>
      <c r="AA263" s="46" t="e">
        <f>(VLOOKUP(E263,Table6[#All],4,0))/(VLOOKUP(E263,Table6[#All],6,0))*F263</f>
        <v>#N/A</v>
      </c>
      <c r="AB263" s="47" t="e">
        <f>(VLOOKUP(E263,Table6[#All],3,0))/(VLOOKUP(E263,Table6[#All],7,0))*F263</f>
        <v>#N/A</v>
      </c>
      <c r="AC263" t="e">
        <f t="shared" si="17"/>
        <v>#N/A</v>
      </c>
    </row>
    <row r="264" spans="3:29" x14ac:dyDescent="0.4">
      <c r="C264" s="31"/>
      <c r="D264" s="235"/>
      <c r="E264" s="31"/>
      <c r="F264" s="236"/>
      <c r="G264" s="237"/>
      <c r="Y264" s="348" t="e">
        <f t="shared" si="15"/>
        <v>#N/A</v>
      </c>
      <c r="Z264" s="349" t="e">
        <f t="shared" si="16"/>
        <v>#N/A</v>
      </c>
      <c r="AA264" s="46" t="e">
        <f>(VLOOKUP(E264,Table6[#All],4,0))/(VLOOKUP(E264,Table6[#All],6,0))*F264</f>
        <v>#N/A</v>
      </c>
      <c r="AB264" s="47" t="e">
        <f>(VLOOKUP(E264,Table6[#All],3,0))/(VLOOKUP(E264,Table6[#All],7,0))*F264</f>
        <v>#N/A</v>
      </c>
      <c r="AC264" t="e">
        <f t="shared" si="17"/>
        <v>#N/A</v>
      </c>
    </row>
    <row r="265" spans="3:29" x14ac:dyDescent="0.4">
      <c r="C265" s="31"/>
      <c r="D265" s="235"/>
      <c r="E265" s="31"/>
      <c r="F265" s="236"/>
      <c r="G265" s="237"/>
      <c r="Y265" s="348" t="e">
        <f t="shared" si="15"/>
        <v>#N/A</v>
      </c>
      <c r="Z265" s="349" t="e">
        <f t="shared" si="16"/>
        <v>#N/A</v>
      </c>
      <c r="AA265" s="46" t="e">
        <f>(VLOOKUP(E265,Table6[#All],4,0))/(VLOOKUP(E265,Table6[#All],6,0))*F265</f>
        <v>#N/A</v>
      </c>
      <c r="AB265" s="47" t="e">
        <f>(VLOOKUP(E265,Table6[#All],3,0))/(VLOOKUP(E265,Table6[#All],7,0))*F265</f>
        <v>#N/A</v>
      </c>
      <c r="AC265" t="e">
        <f t="shared" si="17"/>
        <v>#N/A</v>
      </c>
    </row>
    <row r="266" spans="3:29" x14ac:dyDescent="0.4">
      <c r="C266" s="31"/>
      <c r="D266" s="235"/>
      <c r="E266" s="31"/>
      <c r="F266" s="236"/>
      <c r="G266" s="237"/>
      <c r="Y266" s="348" t="e">
        <f t="shared" si="15"/>
        <v>#N/A</v>
      </c>
      <c r="Z266" s="349" t="e">
        <f t="shared" si="16"/>
        <v>#N/A</v>
      </c>
      <c r="AA266" s="46" t="e">
        <f>(VLOOKUP(E266,Table6[#All],4,0))/(VLOOKUP(E266,Table6[#All],6,0))*F266</f>
        <v>#N/A</v>
      </c>
      <c r="AB266" s="47" t="e">
        <f>(VLOOKUP(E266,Table6[#All],3,0))/(VLOOKUP(E266,Table6[#All],7,0))*F266</f>
        <v>#N/A</v>
      </c>
      <c r="AC266" t="e">
        <f t="shared" si="17"/>
        <v>#N/A</v>
      </c>
    </row>
    <row r="267" spans="3:29" x14ac:dyDescent="0.4">
      <c r="C267" s="31"/>
      <c r="D267" s="235"/>
      <c r="E267" s="31"/>
      <c r="F267" s="236"/>
      <c r="G267" s="237"/>
      <c r="Y267" s="348" t="e">
        <f t="shared" si="15"/>
        <v>#N/A</v>
      </c>
      <c r="Z267" s="349" t="e">
        <f t="shared" si="16"/>
        <v>#N/A</v>
      </c>
      <c r="AA267" s="46" t="e">
        <f>(VLOOKUP(E267,Table6[#All],4,0))/(VLOOKUP(E267,Table6[#All],6,0))*F267</f>
        <v>#N/A</v>
      </c>
      <c r="AB267" s="47" t="e">
        <f>(VLOOKUP(E267,Table6[#All],3,0))/(VLOOKUP(E267,Table6[#All],7,0))*F267</f>
        <v>#N/A</v>
      </c>
      <c r="AC267" t="e">
        <f t="shared" si="17"/>
        <v>#N/A</v>
      </c>
    </row>
    <row r="268" spans="3:29" x14ac:dyDescent="0.4">
      <c r="C268" s="31"/>
      <c r="D268" s="235"/>
      <c r="E268" s="31"/>
      <c r="F268" s="236"/>
      <c r="G268" s="237"/>
      <c r="Y268" s="348" t="e">
        <f t="shared" si="15"/>
        <v>#N/A</v>
      </c>
      <c r="Z268" s="349" t="e">
        <f t="shared" si="16"/>
        <v>#N/A</v>
      </c>
      <c r="AA268" s="46" t="e">
        <f>(VLOOKUP(E268,Table6[#All],4,0))/(VLOOKUP(E268,Table6[#All],6,0))*F268</f>
        <v>#N/A</v>
      </c>
      <c r="AB268" s="47" t="e">
        <f>(VLOOKUP(E268,Table6[#All],3,0))/(VLOOKUP(E268,Table6[#All],7,0))*F268</f>
        <v>#N/A</v>
      </c>
      <c r="AC268" t="e">
        <f t="shared" si="17"/>
        <v>#N/A</v>
      </c>
    </row>
    <row r="269" spans="3:29" x14ac:dyDescent="0.4">
      <c r="C269" s="31"/>
      <c r="D269" s="235"/>
      <c r="E269" s="31"/>
      <c r="F269" s="236"/>
      <c r="G269" s="237"/>
      <c r="Y269" s="348" t="e">
        <f t="shared" si="15"/>
        <v>#N/A</v>
      </c>
      <c r="Z269" s="349" t="e">
        <f t="shared" si="16"/>
        <v>#N/A</v>
      </c>
      <c r="AA269" s="46" t="e">
        <f>(VLOOKUP(E269,Table6[#All],4,0))/(VLOOKUP(E269,Table6[#All],6,0))*F269</f>
        <v>#N/A</v>
      </c>
      <c r="AB269" s="47" t="e">
        <f>(VLOOKUP(E269,Table6[#All],3,0))/(VLOOKUP(E269,Table6[#All],7,0))*F269</f>
        <v>#N/A</v>
      </c>
      <c r="AC269" t="e">
        <f t="shared" si="17"/>
        <v>#N/A</v>
      </c>
    </row>
    <row r="270" spans="3:29" x14ac:dyDescent="0.4">
      <c r="C270" s="31"/>
      <c r="D270" s="235"/>
      <c r="E270" s="31"/>
      <c r="F270" s="236"/>
      <c r="G270" s="237"/>
      <c r="Y270" s="348" t="e">
        <f t="shared" si="15"/>
        <v>#N/A</v>
      </c>
      <c r="Z270" s="349" t="e">
        <f t="shared" si="16"/>
        <v>#N/A</v>
      </c>
      <c r="AA270" s="46" t="e">
        <f>(VLOOKUP(E270,Table6[#All],4,0))/(VLOOKUP(E270,Table6[#All],6,0))*F270</f>
        <v>#N/A</v>
      </c>
      <c r="AB270" s="47" t="e">
        <f>(VLOOKUP(E270,Table6[#All],3,0))/(VLOOKUP(E270,Table6[#All],7,0))*F270</f>
        <v>#N/A</v>
      </c>
      <c r="AC270" t="e">
        <f t="shared" si="17"/>
        <v>#N/A</v>
      </c>
    </row>
  </sheetData>
  <sheetProtection algorithmName="SHA-512" hashValue="Nan7J2hy4yJuY95et1805uA8i7LmrqH3n9Mj2oB+ZoMGiP9At2rtC8IQXsRi39E9NMYDyfZyKwGLIaF08KLjdw==" saltValue="+6UK2rjxHsRiELMbn8YJNw==" spinCount="100000" sheet="1" objects="1" scenarios="1"/>
  <phoneticPr fontId="6" type="noConversion"/>
  <dataValidations count="3">
    <dataValidation type="list" allowBlank="1" showInputMessage="1" showErrorMessage="1" sqref="E75:E270" xr:uid="{54969E9A-4A94-4AF8-89FF-34B902C1656D}">
      <formula1>$C$5:$C$70</formula1>
    </dataValidation>
    <dataValidation type="decimal" allowBlank="1" showInputMessage="1" showErrorMessage="1" sqref="O5:O70 E5:K70" xr:uid="{A63757DF-10F7-4B7B-96AB-B20A410A7AAB}">
      <formula1>0</formula1>
      <formula2>100</formula2>
    </dataValidation>
    <dataValidation type="decimal" allowBlank="1" showInputMessage="1" showErrorMessage="1" sqref="F75:F270" xr:uid="{9152734D-189C-49F3-8DE7-2F9D71287E4E}">
      <formula1>0</formula1>
      <formula2>10000000</formula2>
    </dataValidation>
  </dataValidations>
  <pageMargins left="0.7" right="0.7" top="0.75" bottom="0.75" header="0.3" footer="0.3"/>
  <pageSetup orientation="portrait" r:id="rId1"/>
  <drawing r:id="rId2"/>
  <legacyDrawing r:id="rId3"/>
  <tableParts count="5">
    <tablePart r:id="rId4"/>
    <tablePart r:id="rId5"/>
    <tablePart r:id="rId6"/>
    <tablePart r:id="rId7"/>
    <tablePart r:id="rId8"/>
  </tableParts>
  <extLst>
    <ext xmlns:x14="http://schemas.microsoft.com/office/spreadsheetml/2009/9/main" uri="{CCE6A557-97BC-4b89-ADB6-D9C93CAAB3DF}">
      <x14:dataValidations xmlns:xm="http://schemas.microsoft.com/office/excel/2006/main" count="2">
        <x14:dataValidation type="list" allowBlank="1" showInputMessage="1" showErrorMessage="1" xr:uid="{FA5E7F7A-B8F2-486F-A408-514D41FE64D9}">
          <x14:formula1>
            <xm:f>'Dropdown tables - Production'!$C$2:$C$77</xm:f>
          </x14:formula1>
          <xm:sqref>C75:C270</xm:sqref>
        </x14:dataValidation>
        <x14:dataValidation type="list" allowBlank="1" showInputMessage="1" showErrorMessage="1" xr:uid="{57949A3C-05D3-4926-9C12-7F12A470D122}">
          <x14:formula1>
            <xm:f>'Dropdown tables - Production'!$D$2:$D$77</xm:f>
          </x14:formula1>
          <xm:sqref>D75:D270</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245B58-12C3-4E4D-85EF-7B684D2E7E45}">
  <sheetPr codeName="Sheet21">
    <tabColor theme="9" tint="0.59999389629810485"/>
  </sheetPr>
  <dimension ref="C2:P42"/>
  <sheetViews>
    <sheetView zoomScale="80" zoomScaleNormal="80" workbookViewId="0"/>
  </sheetViews>
  <sheetFormatPr defaultColWidth="9" defaultRowHeight="16.8" x14ac:dyDescent="0.4"/>
  <cols>
    <col min="1" max="1" width="9" style="15"/>
    <col min="2" max="2" width="0" style="15" hidden="1" customWidth="1"/>
    <col min="3" max="3" width="24.77734375" style="33" bestFit="1" customWidth="1"/>
    <col min="4" max="4" width="10" style="33" bestFit="1" customWidth="1"/>
    <col min="5" max="5" width="17.5546875" style="15" bestFit="1" customWidth="1"/>
    <col min="6" max="6" width="17.77734375" style="15" bestFit="1" customWidth="1"/>
    <col min="7" max="7" width="17.21875" style="15" customWidth="1"/>
    <col min="8" max="8" width="9" style="15" customWidth="1"/>
    <col min="9" max="9" width="26" style="15" customWidth="1"/>
    <col min="10" max="10" width="18.21875" style="15" bestFit="1" customWidth="1"/>
    <col min="11" max="11" width="16.5546875" style="15" bestFit="1" customWidth="1"/>
    <col min="12" max="12" width="18.21875" style="15" bestFit="1" customWidth="1"/>
    <col min="13" max="13" width="16.21875" style="15" bestFit="1" customWidth="1"/>
    <col min="14" max="14" width="30.21875" style="15" bestFit="1" customWidth="1"/>
    <col min="15" max="16384" width="9" style="15"/>
  </cols>
  <sheetData>
    <row r="2" spans="3:16" x14ac:dyDescent="0.4">
      <c r="C2" s="18" t="s">
        <v>227</v>
      </c>
      <c r="I2" s="18" t="s">
        <v>1934</v>
      </c>
    </row>
    <row r="3" spans="3:16" ht="30.45" hidden="1" customHeight="1" x14ac:dyDescent="0.4">
      <c r="C3" s="238">
        <v>12.1</v>
      </c>
      <c r="D3" s="238">
        <v>12.2</v>
      </c>
      <c r="E3" s="238">
        <v>12.3</v>
      </c>
      <c r="F3" s="238">
        <v>12.4</v>
      </c>
      <c r="G3" s="238">
        <v>12.5</v>
      </c>
      <c r="I3" s="238">
        <v>12.6</v>
      </c>
      <c r="J3" s="238">
        <v>12.7</v>
      </c>
      <c r="K3" s="238">
        <v>12.8</v>
      </c>
      <c r="L3" s="338">
        <v>12.12</v>
      </c>
      <c r="M3" s="338">
        <v>12.13</v>
      </c>
      <c r="N3" s="338">
        <v>12.14</v>
      </c>
      <c r="P3" s="15" t="s">
        <v>228</v>
      </c>
    </row>
    <row r="4" spans="3:16" ht="33.6" x14ac:dyDescent="0.4">
      <c r="C4" s="155" t="s">
        <v>46</v>
      </c>
      <c r="D4" s="156" t="s">
        <v>221</v>
      </c>
      <c r="E4" s="23" t="s">
        <v>224</v>
      </c>
      <c r="F4" s="23" t="s">
        <v>229</v>
      </c>
      <c r="G4" s="36" t="s">
        <v>56</v>
      </c>
      <c r="I4" s="157" t="s">
        <v>72</v>
      </c>
      <c r="J4" s="59" t="s">
        <v>52</v>
      </c>
      <c r="K4" s="59" t="s">
        <v>223</v>
      </c>
      <c r="L4" s="102" t="s">
        <v>230</v>
      </c>
      <c r="M4" s="102" t="s">
        <v>231</v>
      </c>
      <c r="N4" s="161" t="s">
        <v>232</v>
      </c>
    </row>
    <row r="5" spans="3:16" x14ac:dyDescent="0.4">
      <c r="C5" s="28"/>
      <c r="D5" s="29"/>
      <c r="E5" s="31"/>
      <c r="F5" s="31"/>
      <c r="G5" s="235"/>
      <c r="I5" s="35">
        <f>'Dropdown tables - Production'!G3</f>
        <v>0</v>
      </c>
      <c r="J5" s="35" t="str">
        <f>IF(IF(I5=0, "", SUMIFS(Table126[Stocking count 
('# animals)],Table126[Species in production (Latin name) (select)],Table34[[#This Row],[Species in production]]))=0, "0",IF(I5=0, "", SUMIFS(Table126[Stocking count 
('# animals)],Table126[Species in production (Latin name) (select)],Table34[[#This Row],[Species in production]])))</f>
        <v/>
      </c>
      <c r="K5" s="35" t="str">
        <f>IF(IF(I5=0, "", SUMIFS(Table126[Harvest count 
('# animals)],Table126[Species in production (Latin name) (select)],Table34[[#This Row],[Species in production]]))=0, "0",IF(I5=0, "", SUMIFS(Table126[Harvest count 
('# animals)],Table126[Species in production (Latin name) (select)],Table34[[#This Row],[Species in production]])))</f>
        <v/>
      </c>
      <c r="L5" s="240" t="str">
        <f>IF(I5= 0, "", (SUMIFS(Table225[Mortality count
('# animals)],Table225[Species in production (Latin name) (select)],I5)))</f>
        <v/>
      </c>
      <c r="M5" s="241" t="str">
        <f>IFERROR((Table34[[#This Row],[Mortality count ('# animals)]]/(Table34[[#This Row],[Stocking count 
('# animals)]]))*100, "")</f>
        <v/>
      </c>
      <c r="N5" s="241" t="str">
        <f>IFERROR(((Table34[[#This Row],[Stocking count 
('# animals)]]-Table34[[#This Row],[Harvest count ('# animals)]])/(Table34[[#This Row],[Stocking count 
('# animals)]]))*100, "")</f>
        <v/>
      </c>
    </row>
    <row r="6" spans="3:16" x14ac:dyDescent="0.4">
      <c r="C6" s="28"/>
      <c r="D6" s="29"/>
      <c r="E6" s="31"/>
      <c r="F6" s="31"/>
      <c r="G6" s="235"/>
      <c r="I6" s="35">
        <f>'Dropdown tables - Production'!G4</f>
        <v>0</v>
      </c>
      <c r="J6" s="35" t="str">
        <f>IF(IF(I6=0, "", SUMIFS(Table126[Stocking count 
('# animals)],Table126[Species in production (Latin name) (select)],Table34[[#This Row],[Species in production]]))=0, "0",IF(I6=0, "", SUMIFS(Table126[Stocking count 
('# animals)],Table126[Species in production (Latin name) (select)],Table34[[#This Row],[Species in production]])))</f>
        <v/>
      </c>
      <c r="K6" s="35" t="str">
        <f>IF(IF(I6=0, "", SUMIFS(Table126[Harvest count 
('# animals)],Table126[Species in production (Latin name) (select)],Table34[[#This Row],[Species in production]]))=0, "0",IF(I6=0, "", SUMIFS(Table126[Harvest count 
('# animals)],Table126[Species in production (Latin name) (select)],Table34[[#This Row],[Species in production]])))</f>
        <v/>
      </c>
      <c r="L6" s="240" t="str">
        <f>IF(I6= 0, "", (SUMIFS(Table225[Mortality count
('# animals)],Table225[Species in production (Latin name) (select)],I6)))</f>
        <v/>
      </c>
      <c r="M6" s="241" t="str">
        <f>IFERROR((Table34[[#This Row],[Mortality count ('# animals)]]/(Table34[[#This Row],[Stocking count 
('# animals)]]))*100, "")</f>
        <v/>
      </c>
      <c r="N6" s="241" t="str">
        <f>IFERROR(((Table34[[#This Row],[Stocking count 
('# animals)]]-Table34[[#This Row],[Harvest count ('# animals)]])/(Table34[[#This Row],[Stocking count 
('# animals)]]))*100, "")</f>
        <v/>
      </c>
    </row>
    <row r="7" spans="3:16" x14ac:dyDescent="0.4">
      <c r="C7" s="28"/>
      <c r="D7" s="29"/>
      <c r="E7" s="31"/>
      <c r="F7" s="31"/>
      <c r="G7" s="235"/>
      <c r="I7" s="35">
        <f>'Dropdown tables - Production'!G5</f>
        <v>0</v>
      </c>
      <c r="J7" s="35" t="str">
        <f>IF(IF(I7=0, "", SUMIFS(Table126[Stocking count 
('# animals)],Table126[Species in production (Latin name) (select)],Table34[[#This Row],[Species in production]]))=0, "0",IF(I7=0, "", SUMIFS(Table126[Stocking count 
('# animals)],Table126[Species in production (Latin name) (select)],Table34[[#This Row],[Species in production]])))</f>
        <v/>
      </c>
      <c r="K7" s="35" t="str">
        <f>IF(IF(I7=0, "", SUMIFS(Table126[Harvest count 
('# animals)],Table126[Species in production (Latin name) (select)],Table34[[#This Row],[Species in production]]))=0, "0",IF(I7=0, "", SUMIFS(Table126[Harvest count 
('# animals)],Table126[Species in production (Latin name) (select)],Table34[[#This Row],[Species in production]])))</f>
        <v/>
      </c>
      <c r="L7" s="240" t="str">
        <f>IF(I7= 0, "", (SUMIFS(Table225[Mortality count
('# animals)],Table225[Species in production (Latin name) (select)],I7)))</f>
        <v/>
      </c>
      <c r="M7" s="241" t="str">
        <f>IFERROR((Table34[[#This Row],[Mortality count ('# animals)]]/(Table34[[#This Row],[Stocking count 
('# animals)]]))*100, "")</f>
        <v/>
      </c>
      <c r="N7" s="241" t="str">
        <f>IFERROR(((Table34[[#This Row],[Stocking count 
('# animals)]]-Table34[[#This Row],[Harvest count ('# animals)]])/(Table34[[#This Row],[Stocking count 
('# animals)]]))*100, "")</f>
        <v/>
      </c>
    </row>
    <row r="8" spans="3:16" x14ac:dyDescent="0.4">
      <c r="C8" s="28"/>
      <c r="D8" s="29"/>
      <c r="E8" s="31"/>
      <c r="F8" s="31"/>
      <c r="G8" s="235"/>
      <c r="I8" s="35">
        <f>'Dropdown tables - Production'!G6</f>
        <v>0</v>
      </c>
      <c r="J8" s="35" t="str">
        <f>IF(IF(I8=0, "", SUMIFS(Table126[Stocking count 
('# animals)],Table126[Species in production (Latin name) (select)],Table34[[#This Row],[Species in production]]))=0, "0",IF(I8=0, "", SUMIFS(Table126[Stocking count 
('# animals)],Table126[Species in production (Latin name) (select)],Table34[[#This Row],[Species in production]])))</f>
        <v/>
      </c>
      <c r="K8" s="35" t="str">
        <f>IF(IF(I8=0, "", SUMIFS(Table126[Harvest count 
('# animals)],Table126[Species in production (Latin name) (select)],Table34[[#This Row],[Species in production]]))=0, "0",IF(I8=0, "", SUMIFS(Table126[Harvest count 
('# animals)],Table126[Species in production (Latin name) (select)],Table34[[#This Row],[Species in production]])))</f>
        <v/>
      </c>
      <c r="L8" s="240" t="str">
        <f>IF(I8= 0, "", (SUMIFS(Table225[Mortality count
('# animals)],Table225[Species in production (Latin name) (select)],I8)))</f>
        <v/>
      </c>
      <c r="M8" s="241" t="str">
        <f>IFERROR((Table34[[#This Row],[Mortality count ('# animals)]]/(Table34[[#This Row],[Stocking count 
('# animals)]]))*100, "")</f>
        <v/>
      </c>
      <c r="N8" s="241" t="str">
        <f>IFERROR(((Table34[[#This Row],[Stocking count 
('# animals)]]-Table34[[#This Row],[Harvest count ('# animals)]])/(Table34[[#This Row],[Stocking count 
('# animals)]]))*100, "")</f>
        <v/>
      </c>
    </row>
    <row r="9" spans="3:16" x14ac:dyDescent="0.4">
      <c r="C9" s="28"/>
      <c r="D9" s="29"/>
      <c r="E9" s="31"/>
      <c r="F9" s="31"/>
      <c r="G9" s="235"/>
      <c r="I9" s="35">
        <f>'Dropdown tables - Production'!G7</f>
        <v>0</v>
      </c>
      <c r="J9" s="35" t="str">
        <f>IF(IF(I9=0, "", SUMIFS(Table126[Stocking count 
('# animals)],Table126[Species in production (Latin name) (select)],Table34[[#This Row],[Species in production]]))=0, "0",IF(I9=0, "", SUMIFS(Table126[Stocking count 
('# animals)],Table126[Species in production (Latin name) (select)],Table34[[#This Row],[Species in production]])))</f>
        <v/>
      </c>
      <c r="K9" s="35" t="str">
        <f>IF(IF(I9=0, "", SUMIFS(Table126[Harvest count 
('# animals)],Table126[Species in production (Latin name) (select)],Table34[[#This Row],[Species in production]]))=0, "0",IF(I9=0, "", SUMIFS(Table126[Harvest count 
('# animals)],Table126[Species in production (Latin name) (select)],Table34[[#This Row],[Species in production]])))</f>
        <v/>
      </c>
      <c r="L9" s="240" t="str">
        <f>IF(I9= 0, "", (SUMIFS(Table225[Mortality count
('# animals)],Table225[Species in production (Latin name) (select)],I9)))</f>
        <v/>
      </c>
      <c r="M9" s="241" t="str">
        <f>IFERROR((Table34[[#This Row],[Mortality count ('# animals)]]/(Table34[[#This Row],[Stocking count 
('# animals)]]))*100, "")</f>
        <v/>
      </c>
      <c r="N9" s="241" t="str">
        <f>IFERROR(((Table34[[#This Row],[Stocking count 
('# animals)]]-Table34[[#This Row],[Harvest count ('# animals)]])/(Table34[[#This Row],[Stocking count 
('# animals)]]))*100, "")</f>
        <v/>
      </c>
    </row>
    <row r="10" spans="3:16" x14ac:dyDescent="0.4">
      <c r="C10" s="28"/>
      <c r="D10" s="29"/>
      <c r="E10" s="31"/>
      <c r="F10" s="31"/>
      <c r="G10" s="235"/>
      <c r="I10" s="35">
        <f>'Dropdown tables - Production'!G8</f>
        <v>0</v>
      </c>
      <c r="J10" s="35" t="str">
        <f>IF(IF(I10=0, "", SUMIFS(Table126[Stocking count 
('# animals)],Table126[Species in production (Latin name) (select)],Table34[[#This Row],[Species in production]]))=0, "0",IF(I10=0, "", SUMIFS(Table126[Stocking count 
('# animals)],Table126[Species in production (Latin name) (select)],Table34[[#This Row],[Species in production]])))</f>
        <v/>
      </c>
      <c r="K10" s="35" t="str">
        <f>IF(IF(I10=0, "", SUMIFS(Table126[Harvest count 
('# animals)],Table126[Species in production (Latin name) (select)],Table34[[#This Row],[Species in production]]))=0, "0",IF(I10=0, "", SUMIFS(Table126[Harvest count 
('# animals)],Table126[Species in production (Latin name) (select)],Table34[[#This Row],[Species in production]])))</f>
        <v/>
      </c>
      <c r="L10" s="240" t="str">
        <f>IF(I10= 0, "", (SUMIFS(Table225[Mortality count
('# animals)],Table225[Species in production (Latin name) (select)],I10)))</f>
        <v/>
      </c>
      <c r="M10" s="241" t="str">
        <f>IFERROR((Table34[[#This Row],[Mortality count ('# animals)]]/(Table34[[#This Row],[Stocking count 
('# animals)]]))*100, "")</f>
        <v/>
      </c>
      <c r="N10" s="241" t="str">
        <f>IFERROR(((Table34[[#This Row],[Stocking count 
('# animals)]]-Table34[[#This Row],[Harvest count ('# animals)]])/(Table34[[#This Row],[Stocking count 
('# animals)]]))*100, "")</f>
        <v/>
      </c>
    </row>
    <row r="11" spans="3:16" x14ac:dyDescent="0.4">
      <c r="C11" s="28"/>
      <c r="D11" s="29"/>
      <c r="E11" s="31"/>
      <c r="F11" s="31"/>
      <c r="G11" s="235"/>
      <c r="I11" s="35">
        <f>'Dropdown tables - Production'!G9</f>
        <v>0</v>
      </c>
      <c r="J11" s="35" t="str">
        <f>IF(IF(I11=0, "", SUMIFS(Table126[Stocking count 
('# animals)],Table126[Species in production (Latin name) (select)],Table34[[#This Row],[Species in production]]))=0, "0",IF(I11=0, "", SUMIFS(Table126[Stocking count 
('# animals)],Table126[Species in production (Latin name) (select)],Table34[[#This Row],[Species in production]])))</f>
        <v/>
      </c>
      <c r="K11" s="35" t="str">
        <f>IF(IF(I11=0, "", SUMIFS(Table126[Harvest count 
('# animals)],Table126[Species in production (Latin name) (select)],Table34[[#This Row],[Species in production]]))=0, "0",IF(I11=0, "", SUMIFS(Table126[Harvest count 
('# animals)],Table126[Species in production (Latin name) (select)],Table34[[#This Row],[Species in production]])))</f>
        <v/>
      </c>
      <c r="L11" s="240" t="str">
        <f>IF(I11= 0, "", (SUMIFS(Table225[Mortality count
('# animals)],Table225[Species in production (Latin name) (select)],I11)))</f>
        <v/>
      </c>
      <c r="M11" s="241" t="str">
        <f>IFERROR((Table34[[#This Row],[Mortality count ('# animals)]]/(Table34[[#This Row],[Stocking count 
('# animals)]]))*100, "")</f>
        <v/>
      </c>
      <c r="N11" s="241" t="str">
        <f>IFERROR(((Table34[[#This Row],[Stocking count 
('# animals)]]-Table34[[#This Row],[Harvest count ('# animals)]])/(Table34[[#This Row],[Stocking count 
('# animals)]]))*100, "")</f>
        <v/>
      </c>
    </row>
    <row r="12" spans="3:16" x14ac:dyDescent="0.4">
      <c r="C12" s="28"/>
      <c r="D12" s="29"/>
      <c r="E12" s="31"/>
      <c r="F12" s="31"/>
      <c r="G12" s="235"/>
      <c r="I12" s="35">
        <f>'Dropdown tables - Production'!G10</f>
        <v>0</v>
      </c>
      <c r="J12" s="35" t="str">
        <f>IF(IF(I12=0, "", SUMIFS(Table126[Stocking count 
('# animals)],Table126[Species in production (Latin name) (select)],Table34[[#This Row],[Species in production]]))=0, "0",IF(I12=0, "", SUMIFS(Table126[Stocking count 
('# animals)],Table126[Species in production (Latin name) (select)],Table34[[#This Row],[Species in production]])))</f>
        <v/>
      </c>
      <c r="K12" s="35" t="str">
        <f>IF(IF(I12=0, "", SUMIFS(Table126[Harvest count 
('# animals)],Table126[Species in production (Latin name) (select)],Table34[[#This Row],[Species in production]]))=0, "0",IF(I12=0, "", SUMIFS(Table126[Harvest count 
('# animals)],Table126[Species in production (Latin name) (select)],Table34[[#This Row],[Species in production]])))</f>
        <v/>
      </c>
      <c r="L12" s="240" t="str">
        <f>IF(I12= 0, "", (SUMIFS(Table225[Mortality count
('# animals)],Table225[Species in production (Latin name) (select)],I12)))</f>
        <v/>
      </c>
      <c r="M12" s="241" t="str">
        <f>IFERROR((Table34[[#This Row],[Mortality count ('# animals)]]/(Table34[[#This Row],[Stocking count 
('# animals)]]))*100, "")</f>
        <v/>
      </c>
      <c r="N12" s="241" t="str">
        <f>IFERROR(((Table34[[#This Row],[Stocking count 
('# animals)]]-Table34[[#This Row],[Harvest count ('# animals)]])/(Table34[[#This Row],[Stocking count 
('# animals)]]))*100, "")</f>
        <v/>
      </c>
    </row>
    <row r="13" spans="3:16" x14ac:dyDescent="0.4">
      <c r="C13" s="28"/>
      <c r="D13" s="29"/>
      <c r="E13" s="31"/>
      <c r="F13" s="31"/>
      <c r="G13" s="235"/>
      <c r="I13" s="35">
        <f>'Dropdown tables - Production'!G11</f>
        <v>0</v>
      </c>
      <c r="J13" s="35" t="str">
        <f>IF(IF(I13=0, "", SUMIFS(Table126[Stocking count 
('# animals)],Table126[Species in production (Latin name) (select)],Table34[[#This Row],[Species in production]]))=0, "0",IF(I13=0, "", SUMIFS(Table126[Stocking count 
('# animals)],Table126[Species in production (Latin name) (select)],Table34[[#This Row],[Species in production]])))</f>
        <v/>
      </c>
      <c r="K13" s="35" t="str">
        <f>IF(IF(I13=0, "", SUMIFS(Table126[Harvest count 
('# animals)],Table126[Species in production (Latin name) (select)],Table34[[#This Row],[Species in production]]))=0, "0",IF(I13=0, "", SUMIFS(Table126[Harvest count 
('# animals)],Table126[Species in production (Latin name) (select)],Table34[[#This Row],[Species in production]])))</f>
        <v/>
      </c>
      <c r="L13" s="240" t="str">
        <f>IF(I13= 0, "", (SUMIFS(Table225[Mortality count
('# animals)],Table225[Species in production (Latin name) (select)],I13)))</f>
        <v/>
      </c>
      <c r="M13" s="241" t="str">
        <f>IFERROR((Table34[[#This Row],[Mortality count ('# animals)]]/(Table34[[#This Row],[Stocking count 
('# animals)]]))*100, "")</f>
        <v/>
      </c>
      <c r="N13" s="241" t="str">
        <f>IFERROR(((Table34[[#This Row],[Stocking count 
('# animals)]]-Table34[[#This Row],[Harvest count ('# animals)]])/(Table34[[#This Row],[Stocking count 
('# animals)]]))*100, "")</f>
        <v/>
      </c>
    </row>
    <row r="14" spans="3:16" x14ac:dyDescent="0.4">
      <c r="C14" s="28"/>
      <c r="D14" s="29"/>
      <c r="E14" s="31"/>
      <c r="F14" s="31"/>
      <c r="G14" s="235"/>
      <c r="I14" s="35">
        <f>'Dropdown tables - Production'!G12</f>
        <v>0</v>
      </c>
      <c r="J14" s="35" t="str">
        <f>IF(IF(I14=0, "", SUMIFS(Table126[Stocking count 
('# animals)],Table126[Species in production (Latin name) (select)],Table34[[#This Row],[Species in production]]))=0, "0",IF(I14=0, "", SUMIFS(Table126[Stocking count 
('# animals)],Table126[Species in production (Latin name) (select)],Table34[[#This Row],[Species in production]])))</f>
        <v/>
      </c>
      <c r="K14" s="35" t="str">
        <f>IF(IF(I14=0, "", SUMIFS(Table126[Harvest count 
('# animals)],Table126[Species in production (Latin name) (select)],Table34[[#This Row],[Species in production]]))=0, "0",IF(I14=0, "", SUMIFS(Table126[Harvest count 
('# animals)],Table126[Species in production (Latin name) (select)],Table34[[#This Row],[Species in production]])))</f>
        <v/>
      </c>
      <c r="L14" s="240" t="str">
        <f>IF(I14= 0, "", (SUMIFS(Table225[Mortality count
('# animals)],Table225[Species in production (Latin name) (select)],I14)))</f>
        <v/>
      </c>
      <c r="M14" s="241" t="str">
        <f>IFERROR((Table34[[#This Row],[Mortality count ('# animals)]]/(Table34[[#This Row],[Stocking count 
('# animals)]]))*100, "")</f>
        <v/>
      </c>
      <c r="N14" s="241" t="str">
        <f>IFERROR(((Table34[[#This Row],[Stocking count 
('# animals)]]-Table34[[#This Row],[Harvest count ('# animals)]])/(Table34[[#This Row],[Stocking count 
('# animals)]]))*100, "")</f>
        <v/>
      </c>
    </row>
    <row r="15" spans="3:16" x14ac:dyDescent="0.4">
      <c r="C15" s="28"/>
      <c r="D15" s="29"/>
      <c r="E15" s="31"/>
      <c r="F15" s="31"/>
      <c r="G15" s="235"/>
      <c r="I15" s="35">
        <f>'Dropdown tables - Production'!G13</f>
        <v>0</v>
      </c>
      <c r="J15" s="35" t="str">
        <f>IF(IF(I15=0, "", SUMIFS(Table126[Stocking count 
('# animals)],Table126[Species in production (Latin name) (select)],Table34[[#This Row],[Species in production]]))=0, "0",IF(I15=0, "", SUMIFS(Table126[Stocking count 
('# animals)],Table126[Species in production (Latin name) (select)],Table34[[#This Row],[Species in production]])))</f>
        <v/>
      </c>
      <c r="K15" s="35" t="str">
        <f>IF(IF(I15=0, "", SUMIFS(Table126[Harvest count 
('# animals)],Table126[Species in production (Latin name) (select)],Table34[[#This Row],[Species in production]]))=0, "0",IF(I15=0, "", SUMIFS(Table126[Harvest count 
('# animals)],Table126[Species in production (Latin name) (select)],Table34[[#This Row],[Species in production]])))</f>
        <v/>
      </c>
      <c r="L15" s="240" t="str">
        <f>IF(I15= 0, "", (SUMIFS(Table225[Mortality count
('# animals)],Table225[Species in production (Latin name) (select)],I15)))</f>
        <v/>
      </c>
      <c r="M15" s="241" t="str">
        <f>IFERROR((Table34[[#This Row],[Mortality count ('# animals)]]/(Table34[[#This Row],[Stocking count 
('# animals)]]))*100, "")</f>
        <v/>
      </c>
      <c r="N15" s="241" t="str">
        <f>IFERROR(((Table34[[#This Row],[Stocking count 
('# animals)]]-Table34[[#This Row],[Harvest count ('# animals)]])/(Table34[[#This Row],[Stocking count 
('# animals)]]))*100, "")</f>
        <v/>
      </c>
    </row>
    <row r="16" spans="3:16" x14ac:dyDescent="0.4">
      <c r="C16" s="28"/>
      <c r="D16" s="29"/>
      <c r="E16" s="31"/>
      <c r="F16" s="31"/>
      <c r="G16" s="235"/>
      <c r="I16" s="35">
        <f>'Dropdown tables - Production'!G14</f>
        <v>0</v>
      </c>
      <c r="J16" s="35" t="str">
        <f>IF(IF(I16=0, "", SUMIFS(Table126[Stocking count 
('# animals)],Table126[Species in production (Latin name) (select)],Table34[[#This Row],[Species in production]]))=0, "0",IF(I16=0, "", SUMIFS(Table126[Stocking count 
('# animals)],Table126[Species in production (Latin name) (select)],Table34[[#This Row],[Species in production]])))</f>
        <v/>
      </c>
      <c r="K16" s="35" t="str">
        <f>IF(IF(I16=0, "", SUMIFS(Table126[Harvest count 
('# animals)],Table126[Species in production (Latin name) (select)],Table34[[#This Row],[Species in production]]))=0, "0",IF(I16=0, "", SUMIFS(Table126[Harvest count 
('# animals)],Table126[Species in production (Latin name) (select)],Table34[[#This Row],[Species in production]])))</f>
        <v/>
      </c>
      <c r="L16" s="240" t="str">
        <f>IF(I16= 0, "", (SUMIFS(Table225[Mortality count
('# animals)],Table225[Species in production (Latin name) (select)],I16)))</f>
        <v/>
      </c>
      <c r="M16" s="241" t="str">
        <f>IFERROR((Table34[[#This Row],[Mortality count ('# animals)]]/(Table34[[#This Row],[Stocking count 
('# animals)]]))*100, "")</f>
        <v/>
      </c>
      <c r="N16" s="241" t="str">
        <f>IFERROR(((Table34[[#This Row],[Stocking count 
('# animals)]]-Table34[[#This Row],[Harvest count ('# animals)]])/(Table34[[#This Row],[Stocking count 
('# animals)]]))*100, "")</f>
        <v/>
      </c>
    </row>
    <row r="17" spans="3:14" x14ac:dyDescent="0.4">
      <c r="C17" s="28"/>
      <c r="D17" s="29"/>
      <c r="E17" s="31"/>
      <c r="F17" s="31"/>
      <c r="G17" s="235"/>
      <c r="I17" s="35">
        <f>'Dropdown tables - Production'!G15</f>
        <v>0</v>
      </c>
      <c r="J17" s="35" t="str">
        <f>IF(IF(I17=0, "", SUMIFS(Table126[Stocking count 
('# animals)],Table126[Species in production (Latin name) (select)],Table34[[#This Row],[Species in production]]))=0, "0",IF(I17=0, "", SUMIFS(Table126[Stocking count 
('# animals)],Table126[Species in production (Latin name) (select)],Table34[[#This Row],[Species in production]])))</f>
        <v/>
      </c>
      <c r="K17" s="35" t="str">
        <f>IF(IF(I17=0, "", SUMIFS(Table126[Harvest count 
('# animals)],Table126[Species in production (Latin name) (select)],Table34[[#This Row],[Species in production]]))=0, "0",IF(I17=0, "", SUMIFS(Table126[Harvest count 
('# animals)],Table126[Species in production (Latin name) (select)],Table34[[#This Row],[Species in production]])))</f>
        <v/>
      </c>
      <c r="L17" s="240" t="str">
        <f>IF(I17= 0, "", (SUMIFS(Table225[Mortality count
('# animals)],Table225[Species in production (Latin name) (select)],I17)))</f>
        <v/>
      </c>
      <c r="M17" s="241" t="str">
        <f>IFERROR((Table34[[#This Row],[Mortality count ('# animals)]]/(Table34[[#This Row],[Stocking count 
('# animals)]]))*100, "")</f>
        <v/>
      </c>
      <c r="N17" s="241" t="str">
        <f>IFERROR(((Table34[[#This Row],[Stocking count 
('# animals)]]-Table34[[#This Row],[Harvest count ('# animals)]])/(Table34[[#This Row],[Stocking count 
('# animals)]]))*100, "")</f>
        <v/>
      </c>
    </row>
    <row r="18" spans="3:14" x14ac:dyDescent="0.4">
      <c r="C18" s="28"/>
      <c r="D18" s="29"/>
      <c r="E18" s="31"/>
      <c r="F18" s="31"/>
      <c r="G18" s="235"/>
      <c r="I18" s="35">
        <f>'Dropdown tables - Production'!G16</f>
        <v>0</v>
      </c>
      <c r="J18" s="35" t="str">
        <f>IF(IF(I18=0, "", SUMIFS(Table126[Stocking count 
('# animals)],Table126[Species in production (Latin name) (select)],Table34[[#This Row],[Species in production]]))=0, "0",IF(I18=0, "", SUMIFS(Table126[Stocking count 
('# animals)],Table126[Species in production (Latin name) (select)],Table34[[#This Row],[Species in production]])))</f>
        <v/>
      </c>
      <c r="K18" s="35" t="str">
        <f>IF(IF(I18=0, "", SUMIFS(Table126[Harvest count 
('# animals)],Table126[Species in production (Latin name) (select)],Table34[[#This Row],[Species in production]]))=0, "0",IF(I18=0, "", SUMIFS(Table126[Harvest count 
('# animals)],Table126[Species in production (Latin name) (select)],Table34[[#This Row],[Species in production]])))</f>
        <v/>
      </c>
      <c r="L18" s="240" t="str">
        <f>IF(I18= 0, "", (SUMIFS(Table225[Mortality count
('# animals)],Table225[Species in production (Latin name) (select)],I18)))</f>
        <v/>
      </c>
      <c r="M18" s="241" t="str">
        <f>IFERROR((Table34[[#This Row],[Mortality count ('# animals)]]/(Table34[[#This Row],[Stocking count 
('# animals)]]))*100, "")</f>
        <v/>
      </c>
      <c r="N18" s="241" t="str">
        <f>IFERROR(((Table34[[#This Row],[Stocking count 
('# animals)]]-Table34[[#This Row],[Harvest count ('# animals)]])/(Table34[[#This Row],[Stocking count 
('# animals)]]))*100, "")</f>
        <v/>
      </c>
    </row>
    <row r="19" spans="3:14" x14ac:dyDescent="0.4">
      <c r="C19" s="28"/>
      <c r="D19" s="29"/>
      <c r="E19" s="31"/>
      <c r="F19" s="31"/>
      <c r="G19" s="235"/>
      <c r="I19" s="35">
        <f>'Dropdown tables - Production'!G17</f>
        <v>0</v>
      </c>
      <c r="J19" s="35" t="str">
        <f>IF(IF(I19=0, "", SUMIFS(Table126[Stocking count 
('# animals)],Table126[Species in production (Latin name) (select)],Table34[[#This Row],[Species in production]]))=0, "0",IF(I19=0, "", SUMIFS(Table126[Stocking count 
('# animals)],Table126[Species in production (Latin name) (select)],Table34[[#This Row],[Species in production]])))</f>
        <v/>
      </c>
      <c r="K19" s="35" t="str">
        <f>IF(IF(I19=0, "", SUMIFS(Table126[Harvest count 
('# animals)],Table126[Species in production (Latin name) (select)],Table34[[#This Row],[Species in production]]))=0, "0",IF(I19=0, "", SUMIFS(Table126[Harvest count 
('# animals)],Table126[Species in production (Latin name) (select)],Table34[[#This Row],[Species in production]])))</f>
        <v/>
      </c>
      <c r="L19" s="240" t="str">
        <f>IF(I19= 0, "", (SUMIFS(Table225[Mortality count
('# animals)],Table225[Species in production (Latin name) (select)],I19)))</f>
        <v/>
      </c>
      <c r="M19" s="241" t="str">
        <f>IFERROR((Table34[[#This Row],[Mortality count ('# animals)]]/(Table34[[#This Row],[Stocking count 
('# animals)]]))*100, "")</f>
        <v/>
      </c>
      <c r="N19" s="241" t="str">
        <f>IFERROR(((Table34[[#This Row],[Stocking count 
('# animals)]]-Table34[[#This Row],[Harvest count ('# animals)]])/(Table34[[#This Row],[Stocking count 
('# animals)]]))*100, "")</f>
        <v/>
      </c>
    </row>
    <row r="20" spans="3:14" x14ac:dyDescent="0.4">
      <c r="C20" s="28"/>
      <c r="D20" s="29"/>
      <c r="E20" s="31"/>
      <c r="F20" s="31"/>
      <c r="G20" s="235"/>
      <c r="I20" s="35">
        <f>'Dropdown tables - Production'!G18</f>
        <v>0</v>
      </c>
      <c r="J20" s="35" t="str">
        <f>IF(IF(I20=0, "", SUMIFS(Table126[Stocking count 
('# animals)],Table126[Species in production (Latin name) (select)],Table34[[#This Row],[Species in production]]))=0, "0",IF(I20=0, "", SUMIFS(Table126[Stocking count 
('# animals)],Table126[Species in production (Latin name) (select)],Table34[[#This Row],[Species in production]])))</f>
        <v/>
      </c>
      <c r="K20" s="35" t="str">
        <f>IF(IF(I20=0, "", SUMIFS(Table126[Harvest count 
('# animals)],Table126[Species in production (Latin name) (select)],Table34[[#This Row],[Species in production]]))=0, "0",IF(I20=0, "", SUMIFS(Table126[Harvest count 
('# animals)],Table126[Species in production (Latin name) (select)],Table34[[#This Row],[Species in production]])))</f>
        <v/>
      </c>
      <c r="L20" s="240" t="str">
        <f>IF(I20= 0, "", (SUMIFS(Table225[Mortality count
('# animals)],Table225[Species in production (Latin name) (select)],I20)))</f>
        <v/>
      </c>
      <c r="M20" s="241" t="str">
        <f>IFERROR((Table34[[#This Row],[Mortality count ('# animals)]]/(Table34[[#This Row],[Stocking count 
('# animals)]]))*100, "")</f>
        <v/>
      </c>
      <c r="N20" s="241" t="str">
        <f>IFERROR(((Table34[[#This Row],[Stocking count 
('# animals)]]-Table34[[#This Row],[Harvest count ('# animals)]])/(Table34[[#This Row],[Stocking count 
('# animals)]]))*100, "")</f>
        <v/>
      </c>
    </row>
    <row r="21" spans="3:14" x14ac:dyDescent="0.4">
      <c r="C21" s="28"/>
      <c r="D21" s="29"/>
      <c r="E21" s="31"/>
      <c r="F21" s="31"/>
      <c r="G21" s="235"/>
      <c r="I21" s="35">
        <f>'Dropdown tables - Production'!G19</f>
        <v>0</v>
      </c>
      <c r="J21" s="35" t="str">
        <f>IF(IF(I21=0, "", SUMIFS(Table126[Stocking count 
('# animals)],Table126[Species in production (Latin name) (select)],Table34[[#This Row],[Species in production]]))=0, "0",IF(I21=0, "", SUMIFS(Table126[Stocking count 
('# animals)],Table126[Species in production (Latin name) (select)],Table34[[#This Row],[Species in production]])))</f>
        <v/>
      </c>
      <c r="K21" s="35" t="str">
        <f>IF(IF(I21=0, "", SUMIFS(Table126[Harvest count 
('# animals)],Table126[Species in production (Latin name) (select)],Table34[[#This Row],[Species in production]]))=0, "0",IF(I21=0, "", SUMIFS(Table126[Harvest count 
('# animals)],Table126[Species in production (Latin name) (select)],Table34[[#This Row],[Species in production]])))</f>
        <v/>
      </c>
      <c r="L21" s="240" t="str">
        <f>IF(I21= 0, "", (SUMIFS(Table225[Mortality count
('# animals)],Table225[Species in production (Latin name) (select)],I21)))</f>
        <v/>
      </c>
      <c r="M21" s="241" t="str">
        <f>IFERROR((Table34[[#This Row],[Mortality count ('# animals)]]/(Table34[[#This Row],[Stocking count 
('# animals)]]))*100, "")</f>
        <v/>
      </c>
      <c r="N21" s="241" t="str">
        <f>IFERROR(((Table34[[#This Row],[Stocking count 
('# animals)]]-Table34[[#This Row],[Harvest count ('# animals)]])/(Table34[[#This Row],[Stocking count 
('# animals)]]))*100, "")</f>
        <v/>
      </c>
    </row>
    <row r="22" spans="3:14" x14ac:dyDescent="0.4">
      <c r="C22" s="28"/>
      <c r="D22" s="29"/>
      <c r="E22" s="31"/>
      <c r="F22" s="31"/>
      <c r="G22" s="235"/>
      <c r="I22" s="35">
        <f>'Dropdown tables - Production'!G20</f>
        <v>0</v>
      </c>
      <c r="J22" s="35" t="str">
        <f>IF(IF(I22=0, "", SUMIFS(Table126[Stocking count 
('# animals)],Table126[Species in production (Latin name) (select)],Table34[[#This Row],[Species in production]]))=0, "0",IF(I22=0, "", SUMIFS(Table126[Stocking count 
('# animals)],Table126[Species in production (Latin name) (select)],Table34[[#This Row],[Species in production]])))</f>
        <v/>
      </c>
      <c r="K22" s="35" t="str">
        <f>IF(IF(I22=0, "", SUMIFS(Table126[Harvest count 
('# animals)],Table126[Species in production (Latin name) (select)],Table34[[#This Row],[Species in production]]))=0, "0",IF(I22=0, "", SUMIFS(Table126[Harvest count 
('# animals)],Table126[Species in production (Latin name) (select)],Table34[[#This Row],[Species in production]])))</f>
        <v/>
      </c>
      <c r="L22" s="240" t="str">
        <f>IF(I22= 0, "", (SUMIFS(Table225[Mortality count
('# animals)],Table225[Species in production (Latin name) (select)],I22)))</f>
        <v/>
      </c>
      <c r="M22" s="241" t="str">
        <f>IFERROR((Table34[[#This Row],[Mortality count ('# animals)]]/(Table34[[#This Row],[Stocking count 
('# animals)]]))*100, "")</f>
        <v/>
      </c>
      <c r="N22" s="241" t="str">
        <f>IFERROR(((Table34[[#This Row],[Stocking count 
('# animals)]]-Table34[[#This Row],[Harvest count ('# animals)]])/(Table34[[#This Row],[Stocking count 
('# animals)]]))*100, "")</f>
        <v/>
      </c>
    </row>
    <row r="23" spans="3:14" x14ac:dyDescent="0.4">
      <c r="C23" s="28"/>
      <c r="D23" s="29"/>
      <c r="E23" s="31"/>
      <c r="F23" s="31"/>
      <c r="G23" s="235"/>
      <c r="I23" s="35">
        <f>'Dropdown tables - Production'!G21</f>
        <v>0</v>
      </c>
      <c r="J23" s="35" t="str">
        <f>IF(IF(I23=0, "", SUMIFS(Table126[Stocking count 
('# animals)],Table126[Species in production (Latin name) (select)],Table34[[#This Row],[Species in production]]))=0, "0",IF(I23=0, "", SUMIFS(Table126[Stocking count 
('# animals)],Table126[Species in production (Latin name) (select)],Table34[[#This Row],[Species in production]])))</f>
        <v/>
      </c>
      <c r="K23" s="35" t="str">
        <f>IF(IF(I23=0, "", SUMIFS(Table126[Harvest count 
('# animals)],Table126[Species in production (Latin name) (select)],Table34[[#This Row],[Species in production]]))=0, "0",IF(I23=0, "", SUMIFS(Table126[Harvest count 
('# animals)],Table126[Species in production (Latin name) (select)],Table34[[#This Row],[Species in production]])))</f>
        <v/>
      </c>
      <c r="L23" s="240" t="str">
        <f>IF(I23= 0, "", (SUMIFS(Table225[Mortality count
('# animals)],Table225[Species in production (Latin name) (select)],I23)))</f>
        <v/>
      </c>
      <c r="M23" s="241" t="str">
        <f>IFERROR((Table34[[#This Row],[Mortality count ('# animals)]]/(Table34[[#This Row],[Stocking count 
('# animals)]]))*100, "")</f>
        <v/>
      </c>
      <c r="N23" s="241" t="str">
        <f>IFERROR(((Table34[[#This Row],[Stocking count 
('# animals)]]-Table34[[#This Row],[Harvest count ('# animals)]])/(Table34[[#This Row],[Stocking count 
('# animals)]]))*100, "")</f>
        <v/>
      </c>
    </row>
    <row r="24" spans="3:14" x14ac:dyDescent="0.4">
      <c r="C24" s="28"/>
      <c r="D24" s="29"/>
      <c r="E24" s="31"/>
      <c r="F24" s="31"/>
      <c r="G24" s="235"/>
      <c r="I24" s="35">
        <f>'Dropdown tables - Production'!G22</f>
        <v>0</v>
      </c>
      <c r="J24" s="35" t="str">
        <f>IF(IF(I24=0, "", SUMIFS(Table126[Stocking count 
('# animals)],Table126[Species in production (Latin name) (select)],Table34[[#This Row],[Species in production]]))=0, "0",IF(I24=0, "", SUMIFS(Table126[Stocking count 
('# animals)],Table126[Species in production (Latin name) (select)],Table34[[#This Row],[Species in production]])))</f>
        <v/>
      </c>
      <c r="K24" s="35" t="str">
        <f>IF(IF(I24=0, "", SUMIFS(Table126[Harvest count 
('# animals)],Table126[Species in production (Latin name) (select)],Table34[[#This Row],[Species in production]]))=0, "0",IF(I24=0, "", SUMIFS(Table126[Harvest count 
('# animals)],Table126[Species in production (Latin name) (select)],Table34[[#This Row],[Species in production]])))</f>
        <v/>
      </c>
      <c r="L24" s="240" t="str">
        <f>IF(I24= 0, "", (SUMIFS(Table225[Mortality count
('# animals)],Table225[Species in production (Latin name) (select)],I24)))</f>
        <v/>
      </c>
      <c r="M24" s="241" t="str">
        <f>IFERROR((Table34[[#This Row],[Mortality count ('# animals)]]/(Table34[[#This Row],[Stocking count 
('# animals)]]))*100, "")</f>
        <v/>
      </c>
      <c r="N24" s="241" t="str">
        <f>IFERROR(((Table34[[#This Row],[Stocking count 
('# animals)]]-Table34[[#This Row],[Harvest count ('# animals)]])/(Table34[[#This Row],[Stocking count 
('# animals)]]))*100, "")</f>
        <v/>
      </c>
    </row>
    <row r="25" spans="3:14" x14ac:dyDescent="0.4">
      <c r="C25" s="28"/>
      <c r="D25" s="29"/>
      <c r="E25" s="31"/>
      <c r="F25" s="31"/>
      <c r="G25" s="235"/>
      <c r="I25" s="35">
        <f>'Dropdown tables - Production'!G23</f>
        <v>0</v>
      </c>
      <c r="J25" s="35" t="str">
        <f>IF(IF(I25=0, "", SUMIFS(Table126[Stocking count 
('# animals)],Table126[Species in production (Latin name) (select)],Table34[[#This Row],[Species in production]]))=0, "0",IF(I25=0, "", SUMIFS(Table126[Stocking count 
('# animals)],Table126[Species in production (Latin name) (select)],Table34[[#This Row],[Species in production]])))</f>
        <v/>
      </c>
      <c r="K25" s="35" t="str">
        <f>IF(IF(I25=0, "", SUMIFS(Table126[Harvest count 
('# animals)],Table126[Species in production (Latin name) (select)],Table34[[#This Row],[Species in production]]))=0, "0",IF(I25=0, "", SUMIFS(Table126[Harvest count 
('# animals)],Table126[Species in production (Latin name) (select)],Table34[[#This Row],[Species in production]])))</f>
        <v/>
      </c>
      <c r="L25" s="240" t="str">
        <f>IF(I25= 0, "", (SUMIFS(Table225[Mortality count
('# animals)],Table225[Species in production (Latin name) (select)],I25)))</f>
        <v/>
      </c>
      <c r="M25" s="241" t="str">
        <f>IFERROR((Table34[[#This Row],[Mortality count ('# animals)]]/(Table34[[#This Row],[Stocking count 
('# animals)]]))*100, "")</f>
        <v/>
      </c>
      <c r="N25" s="241" t="str">
        <f>IFERROR(((Table34[[#This Row],[Stocking count 
('# animals)]]-Table34[[#This Row],[Harvest count ('# animals)]])/(Table34[[#This Row],[Stocking count 
('# animals)]]))*100, "")</f>
        <v/>
      </c>
    </row>
    <row r="26" spans="3:14" x14ac:dyDescent="0.4">
      <c r="C26" s="28"/>
      <c r="D26" s="29"/>
      <c r="E26" s="31"/>
      <c r="F26" s="31"/>
      <c r="G26" s="235"/>
      <c r="I26" s="35">
        <f>'Dropdown tables - Production'!G24</f>
        <v>0</v>
      </c>
      <c r="J26" s="35" t="str">
        <f>IF(IF(I26=0, "", SUMIFS(Table126[Stocking count 
('# animals)],Table126[Species in production (Latin name) (select)],Table34[[#This Row],[Species in production]]))=0, "0",IF(I26=0, "", SUMIFS(Table126[Stocking count 
('# animals)],Table126[Species in production (Latin name) (select)],Table34[[#This Row],[Species in production]])))</f>
        <v/>
      </c>
      <c r="K26" s="35" t="str">
        <f>IF(IF(I26=0, "", SUMIFS(Table126[Harvest count 
('# animals)],Table126[Species in production (Latin name) (select)],Table34[[#This Row],[Species in production]]))=0, "0",IF(I26=0, "", SUMIFS(Table126[Harvest count 
('# animals)],Table126[Species in production (Latin name) (select)],Table34[[#This Row],[Species in production]])))</f>
        <v/>
      </c>
      <c r="L26" s="240" t="str">
        <f>IF(I26= 0, "", (SUMIFS(Table225[Mortality count
('# animals)],Table225[Species in production (Latin name) (select)],I26)))</f>
        <v/>
      </c>
      <c r="M26" s="241" t="str">
        <f>IFERROR((Table34[[#This Row],[Mortality count ('# animals)]]/(Table34[[#This Row],[Stocking count 
('# animals)]]))*100, "")</f>
        <v/>
      </c>
      <c r="N26" s="241" t="str">
        <f>IFERROR(((Table34[[#This Row],[Stocking count 
('# animals)]]-Table34[[#This Row],[Harvest count ('# animals)]])/(Table34[[#This Row],[Stocking count 
('# animals)]]))*100, "")</f>
        <v/>
      </c>
    </row>
    <row r="27" spans="3:14" x14ac:dyDescent="0.4">
      <c r="C27" s="28"/>
      <c r="D27" s="29"/>
      <c r="E27" s="31"/>
      <c r="F27" s="31"/>
      <c r="G27" s="235"/>
      <c r="I27" s="35">
        <f>'Dropdown tables - Production'!G25</f>
        <v>0</v>
      </c>
      <c r="J27" s="35" t="str">
        <f>IF(IF(I27=0, "", SUMIFS(Table126[Stocking count 
('# animals)],Table126[Species in production (Latin name) (select)],Table34[[#This Row],[Species in production]]))=0, "0",IF(I27=0, "", SUMIFS(Table126[Stocking count 
('# animals)],Table126[Species in production (Latin name) (select)],Table34[[#This Row],[Species in production]])))</f>
        <v/>
      </c>
      <c r="K27" s="35" t="str">
        <f>IF(IF(I27=0, "", SUMIFS(Table126[Harvest count 
('# animals)],Table126[Species in production (Latin name) (select)],Table34[[#This Row],[Species in production]]))=0, "0",IF(I27=0, "", SUMIFS(Table126[Harvest count 
('# animals)],Table126[Species in production (Latin name) (select)],Table34[[#This Row],[Species in production]])))</f>
        <v/>
      </c>
      <c r="L27" s="240" t="str">
        <f>IF(I27= 0, "", (SUMIFS(Table225[Mortality count
('# animals)],Table225[Species in production (Latin name) (select)],I27)))</f>
        <v/>
      </c>
      <c r="M27" s="241" t="str">
        <f>IFERROR((Table34[[#This Row],[Mortality count ('# animals)]]/(Table34[[#This Row],[Stocking count 
('# animals)]]))*100, "")</f>
        <v/>
      </c>
      <c r="N27" s="241" t="str">
        <f>IFERROR(((Table34[[#This Row],[Stocking count 
('# animals)]]-Table34[[#This Row],[Harvest count ('# animals)]])/(Table34[[#This Row],[Stocking count 
('# animals)]]))*100, "")</f>
        <v/>
      </c>
    </row>
    <row r="28" spans="3:14" x14ac:dyDescent="0.4">
      <c r="C28" s="28"/>
      <c r="D28" s="29"/>
      <c r="E28" s="31"/>
      <c r="F28" s="31"/>
      <c r="G28" s="235"/>
    </row>
    <row r="29" spans="3:14" x14ac:dyDescent="0.4">
      <c r="C29" s="28"/>
      <c r="D29" s="29"/>
      <c r="E29" s="31"/>
      <c r="F29" s="31"/>
      <c r="G29" s="235"/>
      <c r="M29" s="238"/>
      <c r="N29" s="238"/>
    </row>
    <row r="30" spans="3:14" x14ac:dyDescent="0.4">
      <c r="C30" s="28"/>
      <c r="D30" s="29"/>
      <c r="E30" s="31"/>
      <c r="F30" s="31"/>
      <c r="G30" s="235"/>
      <c r="J30" s="20"/>
      <c r="K30" s="20"/>
    </row>
    <row r="31" spans="3:14" x14ac:dyDescent="0.4">
      <c r="C31" s="28"/>
      <c r="D31" s="29"/>
      <c r="E31" s="31"/>
      <c r="F31" s="31"/>
      <c r="G31" s="235"/>
      <c r="J31" s="20"/>
      <c r="K31" s="20"/>
    </row>
    <row r="32" spans="3:14" x14ac:dyDescent="0.4">
      <c r="C32" s="28"/>
      <c r="D32" s="29"/>
      <c r="E32" s="31"/>
      <c r="F32" s="31"/>
      <c r="G32" s="235"/>
      <c r="J32" s="20"/>
      <c r="K32" s="20"/>
    </row>
    <row r="33" spans="3:11" x14ac:dyDescent="0.4">
      <c r="C33" s="28"/>
      <c r="D33" s="29"/>
      <c r="E33" s="31"/>
      <c r="F33" s="31"/>
      <c r="G33" s="235"/>
      <c r="J33" s="20"/>
      <c r="K33" s="20"/>
    </row>
    <row r="34" spans="3:11" x14ac:dyDescent="0.4">
      <c r="C34" s="28"/>
      <c r="D34" s="29"/>
      <c r="E34" s="31"/>
      <c r="F34" s="31"/>
      <c r="G34" s="235"/>
      <c r="J34" s="20"/>
      <c r="K34" s="20"/>
    </row>
    <row r="35" spans="3:11" x14ac:dyDescent="0.4">
      <c r="C35" s="28"/>
      <c r="D35" s="29"/>
      <c r="E35" s="31"/>
      <c r="F35" s="31"/>
      <c r="G35" s="235"/>
      <c r="J35" s="20"/>
      <c r="K35" s="20"/>
    </row>
    <row r="36" spans="3:11" x14ac:dyDescent="0.4">
      <c r="C36" s="28"/>
      <c r="D36" s="29"/>
      <c r="E36" s="31"/>
      <c r="F36" s="31"/>
      <c r="G36" s="235"/>
      <c r="J36" s="20"/>
      <c r="K36" s="20"/>
    </row>
    <row r="37" spans="3:11" x14ac:dyDescent="0.4">
      <c r="C37" s="28"/>
      <c r="D37" s="29"/>
      <c r="E37" s="31"/>
      <c r="F37" s="31"/>
      <c r="G37" s="235"/>
      <c r="J37" s="20"/>
      <c r="K37" s="20"/>
    </row>
    <row r="38" spans="3:11" x14ac:dyDescent="0.4">
      <c r="C38" s="28"/>
      <c r="D38" s="29"/>
      <c r="E38" s="31"/>
      <c r="F38" s="31"/>
      <c r="G38" s="235"/>
      <c r="J38" s="20"/>
      <c r="K38" s="20"/>
    </row>
    <row r="39" spans="3:11" x14ac:dyDescent="0.4">
      <c r="C39" s="28"/>
      <c r="D39" s="29"/>
      <c r="E39" s="31"/>
      <c r="F39" s="31"/>
      <c r="G39" s="235"/>
      <c r="J39" s="20"/>
      <c r="K39" s="20"/>
    </row>
    <row r="40" spans="3:11" x14ac:dyDescent="0.4">
      <c r="C40" s="28"/>
      <c r="D40" s="29"/>
      <c r="E40" s="31"/>
      <c r="F40" s="31"/>
      <c r="G40" s="235"/>
      <c r="J40" s="20"/>
      <c r="K40" s="20"/>
    </row>
    <row r="41" spans="3:11" x14ac:dyDescent="0.4">
      <c r="J41" s="20"/>
      <c r="K41" s="20"/>
    </row>
    <row r="42" spans="3:11" x14ac:dyDescent="0.4">
      <c r="J42" s="20"/>
      <c r="K42" s="20"/>
    </row>
  </sheetData>
  <sheetProtection algorithmName="SHA-512" hashValue="ISJKsPkYof+siP26AtmCejczSb6bO4AOGAm6tPisLZ+GHxICMmu+iNy26kcDnBn/eNHe75F6qEHedhlPeAVcqg==" saltValue="ZqD+LXwVhPKXUMjBiHCfDQ==" spinCount="100000" sheet="1" objects="1" scenarios="1"/>
  <phoneticPr fontId="6" type="noConversion"/>
  <dataValidations count="1">
    <dataValidation type="whole" operator="greaterThanOrEqual" allowBlank="1" showInputMessage="1" showErrorMessage="1" sqref="E5:E40" xr:uid="{760658FF-4963-42F0-B717-814A3145A745}">
      <formula1>0</formula1>
    </dataValidation>
  </dataValidations>
  <pageMargins left="0.7" right="0.7" top="0.75" bottom="0.75" header="0.3" footer="0.3"/>
  <drawing r:id="rId1"/>
  <tableParts count="2">
    <tablePart r:id="rId2"/>
    <tablePart r:id="rId3"/>
  </tableParts>
  <extLst>
    <ext xmlns:x14="http://schemas.microsoft.com/office/spreadsheetml/2009/9/main" uri="{CCE6A557-97BC-4b89-ADB6-D9C93CAAB3DF}">
      <x14:dataValidations xmlns:xm="http://schemas.microsoft.com/office/excel/2006/main" count="3">
        <x14:dataValidation type="list" allowBlank="1" showInputMessage="1" showErrorMessage="1" xr:uid="{99321BDA-7A0A-4D85-A19D-B87C1C53C7AC}">
          <x14:formula1>
            <xm:f>'Dropdown tables - Production'!$C$2:$C$77</xm:f>
          </x14:formula1>
          <xm:sqref>C5:C40</xm:sqref>
        </x14:dataValidation>
        <x14:dataValidation type="list" allowBlank="1" showInputMessage="1" showErrorMessage="1" xr:uid="{A83B50DD-EFDB-4427-8576-2600FF9D5DFE}">
          <x14:formula1>
            <xm:f>'Dropdown tables - Production'!$D$2:$D$77</xm:f>
          </x14:formula1>
          <xm:sqref>D5:D40</xm:sqref>
        </x14:dataValidation>
        <x14:dataValidation type="list" allowBlank="1" showInputMessage="1" xr:uid="{1C9CEEE2-0A98-43DB-9D22-75E86AEA5D40}">
          <x14:formula1>
            <xm:f>'Dropdown tables - Production'!$O$2:$O$13</xm:f>
          </x14:formula1>
          <xm:sqref>F5:F40</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EAF0BD-7BB9-4C38-9056-DC7CE24B0C45}">
  <sheetPr codeName="Sheet15">
    <tabColor theme="9" tint="0.59999389629810485"/>
  </sheetPr>
  <dimension ref="C2:J20"/>
  <sheetViews>
    <sheetView zoomScale="80" zoomScaleNormal="80" workbookViewId="0"/>
  </sheetViews>
  <sheetFormatPr defaultColWidth="9" defaultRowHeight="16.8" x14ac:dyDescent="0.4"/>
  <cols>
    <col min="1" max="1" width="9" style="15"/>
    <col min="2" max="2" width="0" style="15" hidden="1" customWidth="1"/>
    <col min="3" max="3" width="24" style="33" bestFit="1" customWidth="1"/>
    <col min="4" max="4" width="24.5546875" style="33" bestFit="1" customWidth="1"/>
    <col min="5" max="5" width="18.21875" style="33" bestFit="1" customWidth="1"/>
    <col min="6" max="6" width="16.5546875" style="33" customWidth="1"/>
    <col min="7" max="7" width="17.5546875" style="15" bestFit="1" customWidth="1"/>
    <col min="8" max="8" width="15.5546875" style="15" bestFit="1" customWidth="1"/>
    <col min="9" max="9" width="29.77734375" style="15" customWidth="1"/>
    <col min="10" max="10" width="17.21875" style="15" customWidth="1"/>
    <col min="11" max="18" width="9" style="15" customWidth="1"/>
    <col min="19" max="16384" width="9" style="15"/>
  </cols>
  <sheetData>
    <row r="2" spans="3:10" x14ac:dyDescent="0.4">
      <c r="C2" s="18" t="s">
        <v>220</v>
      </c>
    </row>
    <row r="3" spans="3:10" ht="21" hidden="1" customHeight="1" x14ac:dyDescent="0.4">
      <c r="C3" s="15">
        <v>11.1</v>
      </c>
      <c r="D3" s="15">
        <v>11.2</v>
      </c>
      <c r="E3" s="15">
        <v>11.3</v>
      </c>
      <c r="F3" s="15">
        <v>11.4</v>
      </c>
      <c r="G3" s="15">
        <v>11.5</v>
      </c>
      <c r="H3" s="15">
        <v>11.6</v>
      </c>
      <c r="I3" s="15">
        <v>11.7</v>
      </c>
      <c r="J3" s="15">
        <v>11.8</v>
      </c>
    </row>
    <row r="4" spans="3:10" ht="50.4" x14ac:dyDescent="0.4">
      <c r="C4" s="156" t="s">
        <v>221</v>
      </c>
      <c r="D4" s="155" t="s">
        <v>222</v>
      </c>
      <c r="E4" s="78" t="s">
        <v>52</v>
      </c>
      <c r="F4" s="78" t="s">
        <v>223</v>
      </c>
      <c r="G4" s="23" t="s">
        <v>224</v>
      </c>
      <c r="H4" s="102" t="s">
        <v>225</v>
      </c>
      <c r="I4" s="161" t="s">
        <v>226</v>
      </c>
      <c r="J4" s="36" t="s">
        <v>56</v>
      </c>
    </row>
    <row r="5" spans="3:10" x14ac:dyDescent="0.4">
      <c r="C5" s="29"/>
      <c r="D5" s="239"/>
      <c r="E5" s="37"/>
      <c r="F5" s="37"/>
      <c r="G5" s="37"/>
      <c r="H5" s="38" t="str">
        <f>IFERROR((Table22526[[#This Row],[Mortality count
('# animals)]]/(Table22526[[#This Row],[Stocking count 
('# animals)]]))*100, "")</f>
        <v/>
      </c>
      <c r="I5" s="38" t="str">
        <f>IFERROR(((Table22526[[#This Row],[Stocking count 
('# animals)]]-Table22526[[#This Row],[Harvest count ('# animals)]])/(Table22526[[#This Row],[Stocking count 
('# animals)]]))*100, "")</f>
        <v/>
      </c>
      <c r="J5" s="235"/>
    </row>
    <row r="6" spans="3:10" x14ac:dyDescent="0.4">
      <c r="C6" s="29"/>
      <c r="D6" s="239"/>
      <c r="E6" s="37"/>
      <c r="F6" s="37"/>
      <c r="G6" s="37"/>
      <c r="H6" s="38" t="str">
        <f>IFERROR((Table22526[[#This Row],[Mortality count
('# animals)]]/(Table22526[[#This Row],[Stocking count 
('# animals)]]))*100, "")</f>
        <v/>
      </c>
      <c r="I6" s="38" t="str">
        <f>IFERROR(((Table22526[[#This Row],[Stocking count 
('# animals)]]-Table22526[[#This Row],[Harvest count ('# animals)]])/(Table22526[[#This Row],[Stocking count 
('# animals)]]))*100, "")</f>
        <v/>
      </c>
      <c r="J6" s="235"/>
    </row>
    <row r="7" spans="3:10" x14ac:dyDescent="0.4">
      <c r="C7" s="29"/>
      <c r="D7" s="239"/>
      <c r="E7" s="37"/>
      <c r="F7" s="37"/>
      <c r="G7" s="37"/>
      <c r="H7" s="38" t="str">
        <f>IFERROR((Table22526[[#This Row],[Mortality count
('# animals)]]/(Table22526[[#This Row],[Stocking count 
('# animals)]]))*100, "")</f>
        <v/>
      </c>
      <c r="I7" s="38" t="str">
        <f>IFERROR(((Table22526[[#This Row],[Stocking count 
('# animals)]]-Table22526[[#This Row],[Harvest count ('# animals)]])/(Table22526[[#This Row],[Stocking count 
('# animals)]]))*100, "")</f>
        <v/>
      </c>
      <c r="J7" s="235"/>
    </row>
    <row r="8" spans="3:10" x14ac:dyDescent="0.4">
      <c r="C8" s="29"/>
      <c r="D8" s="239"/>
      <c r="E8" s="37"/>
      <c r="F8" s="37"/>
      <c r="G8" s="37"/>
      <c r="H8" s="38" t="str">
        <f>IFERROR((Table22526[[#This Row],[Mortality count
('# animals)]]/(Table22526[[#This Row],[Stocking count 
('# animals)]]))*100, "")</f>
        <v/>
      </c>
      <c r="I8" s="38" t="str">
        <f>IFERROR(((Table22526[[#This Row],[Stocking count 
('# animals)]]-Table22526[[#This Row],[Harvest count ('# animals)]])/(Table22526[[#This Row],[Stocking count 
('# animals)]]))*100, "")</f>
        <v/>
      </c>
      <c r="J8" s="235"/>
    </row>
    <row r="9" spans="3:10" x14ac:dyDescent="0.4">
      <c r="C9" s="29"/>
      <c r="D9" s="239"/>
      <c r="E9" s="37"/>
      <c r="F9" s="37"/>
      <c r="G9" s="37"/>
      <c r="H9" s="38" t="str">
        <f>IFERROR((Table22526[[#This Row],[Mortality count
('# animals)]]/(Table22526[[#This Row],[Stocking count 
('# animals)]]))*100, "")</f>
        <v/>
      </c>
      <c r="I9" s="38" t="str">
        <f>IFERROR(((Table22526[[#This Row],[Stocking count 
('# animals)]]-Table22526[[#This Row],[Harvest count ('# animals)]])/(Table22526[[#This Row],[Stocking count 
('# animals)]]))*100, "")</f>
        <v/>
      </c>
      <c r="J9" s="235"/>
    </row>
    <row r="10" spans="3:10" x14ac:dyDescent="0.4">
      <c r="C10" s="29"/>
      <c r="D10" s="239"/>
      <c r="E10" s="37"/>
      <c r="F10" s="37"/>
      <c r="G10" s="37"/>
      <c r="H10" s="38" t="str">
        <f>IFERROR((Table22526[[#This Row],[Mortality count
('# animals)]]/(Table22526[[#This Row],[Stocking count 
('# animals)]]))*100, "")</f>
        <v/>
      </c>
      <c r="I10" s="38" t="str">
        <f>IFERROR(((Table22526[[#This Row],[Stocking count 
('# animals)]]-Table22526[[#This Row],[Harvest count ('# animals)]])/(Table22526[[#This Row],[Stocking count 
('# animals)]]))*100, "")</f>
        <v/>
      </c>
      <c r="J10" s="235"/>
    </row>
    <row r="11" spans="3:10" x14ac:dyDescent="0.4">
      <c r="C11" s="29"/>
      <c r="D11" s="239"/>
      <c r="E11" s="37"/>
      <c r="F11" s="37"/>
      <c r="G11" s="37"/>
      <c r="H11" s="38" t="str">
        <f>IFERROR((Table22526[[#This Row],[Mortality count
('# animals)]]/(Table22526[[#This Row],[Stocking count 
('# animals)]]))*100, "")</f>
        <v/>
      </c>
      <c r="I11" s="38" t="str">
        <f>IFERROR(((Table22526[[#This Row],[Stocking count 
('# animals)]]-Table22526[[#This Row],[Harvest count ('# animals)]])/(Table22526[[#This Row],[Stocking count 
('# animals)]]))*100, "")</f>
        <v/>
      </c>
      <c r="J11" s="235"/>
    </row>
    <row r="12" spans="3:10" x14ac:dyDescent="0.4">
      <c r="C12" s="29"/>
      <c r="D12" s="239"/>
      <c r="E12" s="37"/>
      <c r="F12" s="37"/>
      <c r="G12" s="37"/>
      <c r="H12" s="38" t="str">
        <f>IFERROR((Table22526[[#This Row],[Mortality count
('# animals)]]/(Table22526[[#This Row],[Stocking count 
('# animals)]]))*100, "")</f>
        <v/>
      </c>
      <c r="I12" s="38" t="str">
        <f>IFERROR(((Table22526[[#This Row],[Stocking count 
('# animals)]]-Table22526[[#This Row],[Harvest count ('# animals)]])/(Table22526[[#This Row],[Stocking count 
('# animals)]]))*100, "")</f>
        <v/>
      </c>
      <c r="J12" s="235"/>
    </row>
    <row r="13" spans="3:10" x14ac:dyDescent="0.4">
      <c r="C13" s="29"/>
      <c r="D13" s="239"/>
      <c r="E13" s="37"/>
      <c r="F13" s="37"/>
      <c r="G13" s="37"/>
      <c r="H13" s="38" t="str">
        <f>IFERROR((Table22526[[#This Row],[Mortality count
('# animals)]]/(Table22526[[#This Row],[Stocking count 
('# animals)]]))*100, "")</f>
        <v/>
      </c>
      <c r="I13" s="38" t="str">
        <f>IFERROR(((Table22526[[#This Row],[Stocking count 
('# animals)]]-Table22526[[#This Row],[Harvest count ('# animals)]])/(Table22526[[#This Row],[Stocking count 
('# animals)]]))*100, "")</f>
        <v/>
      </c>
      <c r="J13" s="235"/>
    </row>
    <row r="14" spans="3:10" x14ac:dyDescent="0.4">
      <c r="C14" s="29"/>
      <c r="D14" s="239"/>
      <c r="E14" s="37"/>
      <c r="F14" s="37"/>
      <c r="G14" s="37"/>
      <c r="H14" s="38" t="str">
        <f>IFERROR((Table22526[[#This Row],[Mortality count
('# animals)]]/(Table22526[[#This Row],[Stocking count 
('# animals)]]))*100, "")</f>
        <v/>
      </c>
      <c r="I14" s="38" t="str">
        <f>IFERROR(((Table22526[[#This Row],[Stocking count 
('# animals)]]-Table22526[[#This Row],[Harvest count ('# animals)]])/(Table22526[[#This Row],[Stocking count 
('# animals)]]))*100, "")</f>
        <v/>
      </c>
      <c r="J14" s="235"/>
    </row>
    <row r="15" spans="3:10" x14ac:dyDescent="0.4">
      <c r="C15" s="29"/>
      <c r="D15" s="239"/>
      <c r="E15" s="37"/>
      <c r="F15" s="37"/>
      <c r="G15" s="37"/>
      <c r="H15" s="38" t="str">
        <f>IFERROR((Table22526[[#This Row],[Mortality count
('# animals)]]/(Table22526[[#This Row],[Stocking count 
('# animals)]]))*100, "")</f>
        <v/>
      </c>
      <c r="I15" s="38" t="str">
        <f>IFERROR(((Table22526[[#This Row],[Stocking count 
('# animals)]]-Table22526[[#This Row],[Harvest count ('# animals)]])/(Table22526[[#This Row],[Stocking count 
('# animals)]]))*100, "")</f>
        <v/>
      </c>
      <c r="J15" s="235"/>
    </row>
    <row r="16" spans="3:10" x14ac:dyDescent="0.4">
      <c r="C16" s="29"/>
      <c r="D16" s="239"/>
      <c r="E16" s="37"/>
      <c r="F16" s="37"/>
      <c r="G16" s="37"/>
      <c r="H16" s="38" t="str">
        <f>IFERROR((Table22526[[#This Row],[Mortality count
('# animals)]]/(Table22526[[#This Row],[Stocking count 
('# animals)]]))*100, "")</f>
        <v/>
      </c>
      <c r="I16" s="38" t="str">
        <f>IFERROR(((Table22526[[#This Row],[Stocking count 
('# animals)]]-Table22526[[#This Row],[Harvest count ('# animals)]])/(Table22526[[#This Row],[Stocking count 
('# animals)]]))*100, "")</f>
        <v/>
      </c>
      <c r="J16" s="235"/>
    </row>
    <row r="17" spans="3:10" x14ac:dyDescent="0.4">
      <c r="C17" s="29"/>
      <c r="D17" s="239"/>
      <c r="E17" s="37"/>
      <c r="F17" s="37"/>
      <c r="G17" s="37"/>
      <c r="H17" s="38" t="str">
        <f>IFERROR((Table22526[[#This Row],[Mortality count
('# animals)]]/(Table22526[[#This Row],[Stocking count 
('# animals)]]))*100, "")</f>
        <v/>
      </c>
      <c r="I17" s="38" t="str">
        <f>IFERROR(((Table22526[[#This Row],[Stocking count 
('# animals)]]-Table22526[[#This Row],[Harvest count ('# animals)]])/(Table22526[[#This Row],[Stocking count 
('# animals)]]))*100, "")</f>
        <v/>
      </c>
      <c r="J17" s="235"/>
    </row>
    <row r="18" spans="3:10" x14ac:dyDescent="0.4">
      <c r="C18" s="29"/>
      <c r="D18" s="239"/>
      <c r="E18" s="37"/>
      <c r="F18" s="37"/>
      <c r="G18" s="37"/>
      <c r="H18" s="38" t="str">
        <f>IFERROR((Table22526[[#This Row],[Mortality count
('# animals)]]/(Table22526[[#This Row],[Stocking count 
('# animals)]]))*100, "")</f>
        <v/>
      </c>
      <c r="I18" s="38" t="str">
        <f>IFERROR(((Table22526[[#This Row],[Stocking count 
('# animals)]]-Table22526[[#This Row],[Harvest count ('# animals)]])/(Table22526[[#This Row],[Stocking count 
('# animals)]]))*100, "")</f>
        <v/>
      </c>
      <c r="J18" s="235"/>
    </row>
    <row r="19" spans="3:10" x14ac:dyDescent="0.4">
      <c r="C19" s="29"/>
      <c r="D19" s="239"/>
      <c r="E19" s="37"/>
      <c r="F19" s="37"/>
      <c r="G19" s="37"/>
      <c r="H19" s="38" t="str">
        <f>IFERROR((Table22526[[#This Row],[Mortality count
('# animals)]]/(Table22526[[#This Row],[Stocking count 
('# animals)]]))*100, "")</f>
        <v/>
      </c>
      <c r="I19" s="38" t="str">
        <f>IFERROR(((Table22526[[#This Row],[Stocking count 
('# animals)]]-Table22526[[#This Row],[Harvest count ('# animals)]])/(Table22526[[#This Row],[Stocking count 
('# animals)]]))*100, "")</f>
        <v/>
      </c>
      <c r="J19" s="235"/>
    </row>
    <row r="20" spans="3:10" x14ac:dyDescent="0.4">
      <c r="C20" s="29"/>
      <c r="D20" s="239"/>
      <c r="E20" s="37"/>
      <c r="F20" s="37"/>
      <c r="G20" s="37"/>
      <c r="H20" s="38" t="str">
        <f>IFERROR((Table22526[[#This Row],[Mortality count
('# animals)]]/(Table22526[[#This Row],[Stocking count 
('# animals)]]))*100, "")</f>
        <v/>
      </c>
      <c r="I20" s="38" t="str">
        <f>IFERROR(((Table22526[[#This Row],[Stocking count 
('# animals)]]-Table22526[[#This Row],[Harvest count ('# animals)]])/(Table22526[[#This Row],[Stocking count 
('# animals)]]))*100, "")</f>
        <v/>
      </c>
      <c r="J20" s="235"/>
    </row>
  </sheetData>
  <sheetProtection algorithmName="SHA-512" hashValue="ic6elbfGtoHa32LiepAEbmQP/xsRTKbSY0Bp+tQx6e1Xmno/R9OJuM3XYYO/XcQffaxR42piSc2d9xJkTADb+Q==" saltValue="E5yIv4tNo9RaPtC87AXKnw==" spinCount="100000" sheet="1" objects="1" scenarios="1"/>
  <dataValidations count="1">
    <dataValidation type="whole" operator="greaterThanOrEqual" allowBlank="1" showInputMessage="1" showErrorMessage="1" sqref="E5:G20 H6:I20" xr:uid="{EE57AE34-67E1-4EB7-AD8E-BADA7BF8968E}">
      <formula1>0</formula1>
    </dataValidation>
  </dataValidations>
  <pageMargins left="0.7" right="0.7" top="0.75" bottom="0.75" header="0.3" footer="0.3"/>
  <ignoredErrors>
    <ignoredError sqref="H6:H20 I6:I20" listDataValidation="1"/>
  </ignoredErrors>
  <drawing r:id="rId1"/>
  <tableParts count="1">
    <tablePart r:id="rId2"/>
  </tableParts>
  <extLst>
    <ext xmlns:x14="http://schemas.microsoft.com/office/spreadsheetml/2009/9/main" uri="{CCE6A557-97BC-4b89-ADB6-D9C93CAAB3DF}">
      <x14:dataValidations xmlns:xm="http://schemas.microsoft.com/office/excel/2006/main" count="2">
        <x14:dataValidation type="list" allowBlank="1" showInputMessage="1" xr:uid="{39681338-6610-423F-BE93-DA684BBA736D}">
          <x14:formula1>
            <xm:f>'Dropdown tables - Production'!$AA$2:$AA$6</xm:f>
          </x14:formula1>
          <xm:sqref>D5:D20</xm:sqref>
        </x14:dataValidation>
        <x14:dataValidation type="list" allowBlank="1" showInputMessage="1" showErrorMessage="1" xr:uid="{61D5D4FA-404A-4049-B5B8-2A362A783CBD}">
          <x14:formula1>
            <xm:f>'Dropdown tables - Production'!$D$2:$D$77</xm:f>
          </x14:formula1>
          <xm:sqref>C5:C20</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94DAA7-A16D-48F7-96C7-398F6C2B2308}">
  <sheetPr codeName="Sheet30">
    <tabColor theme="9" tint="0.59999389629810485"/>
  </sheetPr>
  <dimension ref="B1:W114"/>
  <sheetViews>
    <sheetView zoomScale="80" zoomScaleNormal="80" workbookViewId="0"/>
  </sheetViews>
  <sheetFormatPr defaultColWidth="9" defaultRowHeight="16.8" x14ac:dyDescent="0.4"/>
  <cols>
    <col min="1" max="1" width="9" style="15"/>
    <col min="2" max="2" width="9" style="15" hidden="1" customWidth="1"/>
    <col min="3" max="3" width="25.21875" style="15" bestFit="1" customWidth="1"/>
    <col min="4" max="4" width="10.44140625" style="15" bestFit="1" customWidth="1"/>
    <col min="5" max="5" width="26.44140625" style="15" bestFit="1" customWidth="1"/>
    <col min="6" max="6" width="25.21875" style="15" bestFit="1" customWidth="1"/>
    <col min="7" max="7" width="20.77734375" style="15" bestFit="1" customWidth="1"/>
    <col min="8" max="8" width="17" style="15" bestFit="1" customWidth="1"/>
    <col min="9" max="9" width="21.77734375" style="15" bestFit="1" customWidth="1"/>
    <col min="10" max="10" width="16" style="15" bestFit="1" customWidth="1"/>
    <col min="11" max="11" width="22.44140625" style="15" bestFit="1" customWidth="1"/>
    <col min="12" max="12" width="20" style="15" bestFit="1" customWidth="1"/>
    <col min="13" max="13" width="17.21875" style="15" customWidth="1"/>
    <col min="14" max="14" width="9" style="15"/>
    <col min="15" max="15" width="25.44140625" style="15" customWidth="1"/>
    <col min="16" max="16" width="39.88671875" style="15" bestFit="1" customWidth="1"/>
    <col min="17" max="17" width="17.44140625" style="15" bestFit="1" customWidth="1"/>
    <col min="18" max="18" width="0" style="15" hidden="1" customWidth="1"/>
    <col min="19" max="19" width="26.109375" style="15" hidden="1" customWidth="1"/>
    <col min="20" max="20" width="11.77734375" style="15" hidden="1" customWidth="1"/>
    <col min="21" max="21" width="27.21875" style="15" hidden="1" customWidth="1"/>
    <col min="22" max="22" width="39.88671875" style="15" hidden="1" customWidth="1"/>
    <col min="23" max="23" width="19.88671875" style="15" hidden="1" customWidth="1"/>
    <col min="24" max="24" width="11" style="15" customWidth="1"/>
    <col min="25" max="16384" width="9" style="15"/>
  </cols>
  <sheetData>
    <row r="1" spans="3:23" x14ac:dyDescent="0.4">
      <c r="S1" s="15" t="s">
        <v>233</v>
      </c>
    </row>
    <row r="2" spans="3:23" x14ac:dyDescent="0.4">
      <c r="C2" s="18" t="s">
        <v>234</v>
      </c>
      <c r="O2" s="18" t="s">
        <v>1935</v>
      </c>
      <c r="S2" s="18" t="s">
        <v>1938</v>
      </c>
    </row>
    <row r="3" spans="3:23" ht="20.55" hidden="1" customHeight="1" x14ac:dyDescent="0.4">
      <c r="C3" s="15">
        <v>13.1</v>
      </c>
      <c r="D3" s="15">
        <v>13.2</v>
      </c>
      <c r="E3" s="15">
        <v>13.3</v>
      </c>
      <c r="F3" s="15">
        <v>13.4</v>
      </c>
      <c r="G3" s="15">
        <v>13.5</v>
      </c>
      <c r="H3" s="15">
        <v>13.6</v>
      </c>
      <c r="I3" s="15">
        <v>13.7</v>
      </c>
      <c r="J3" s="15">
        <v>13.8</v>
      </c>
      <c r="K3" s="15">
        <v>13.9</v>
      </c>
      <c r="L3" s="15">
        <v>13.11</v>
      </c>
      <c r="M3" s="15">
        <v>13.12</v>
      </c>
      <c r="O3" s="15">
        <v>13.13</v>
      </c>
      <c r="P3" s="15">
        <v>13.14</v>
      </c>
      <c r="Q3" s="15">
        <v>13.15</v>
      </c>
      <c r="S3" s="15">
        <v>13.16</v>
      </c>
      <c r="T3" s="15">
        <v>13.17</v>
      </c>
      <c r="U3" s="15">
        <v>13.18</v>
      </c>
      <c r="V3" s="15">
        <v>13.19</v>
      </c>
      <c r="W3" s="15">
        <v>13.21</v>
      </c>
    </row>
    <row r="4" spans="3:23" s="24" customFormat="1" ht="46.5" customHeight="1" thickBot="1" x14ac:dyDescent="0.45">
      <c r="C4" s="23" t="s">
        <v>46</v>
      </c>
      <c r="D4" s="26" t="s">
        <v>221</v>
      </c>
      <c r="E4" s="23" t="s">
        <v>235</v>
      </c>
      <c r="F4" s="23" t="s">
        <v>236</v>
      </c>
      <c r="G4" s="23" t="s">
        <v>237</v>
      </c>
      <c r="H4" s="23" t="s">
        <v>238</v>
      </c>
      <c r="I4" s="23" t="s">
        <v>239</v>
      </c>
      <c r="J4" s="23" t="s">
        <v>240</v>
      </c>
      <c r="K4" s="23" t="s">
        <v>241</v>
      </c>
      <c r="L4" s="101" t="s">
        <v>242</v>
      </c>
      <c r="M4" s="36" t="s">
        <v>56</v>
      </c>
      <c r="N4" s="15"/>
      <c r="O4" s="59" t="s">
        <v>72</v>
      </c>
      <c r="P4" s="108" t="s">
        <v>55</v>
      </c>
      <c r="Q4" s="108" t="s">
        <v>243</v>
      </c>
      <c r="S4" s="59" t="s">
        <v>72</v>
      </c>
      <c r="T4" s="108" t="s">
        <v>47</v>
      </c>
      <c r="U4" s="108" t="s">
        <v>239</v>
      </c>
      <c r="V4" s="108" t="s">
        <v>55</v>
      </c>
      <c r="W4" s="108" t="s">
        <v>244</v>
      </c>
    </row>
    <row r="5" spans="3:23" ht="17.399999999999999" thickTop="1" x14ac:dyDescent="0.4">
      <c r="C5" s="31"/>
      <c r="D5" s="235"/>
      <c r="E5" s="152"/>
      <c r="F5" s="152"/>
      <c r="G5" s="31"/>
      <c r="H5" s="31"/>
      <c r="I5" s="31"/>
      <c r="J5" s="31"/>
      <c r="K5" s="31"/>
      <c r="L5" s="30"/>
      <c r="M5" s="235"/>
      <c r="N5" s="40"/>
      <c r="O5" s="326" t="str">
        <f>IF('Dropdown tables - Production'!G3 = 0, "", 'Dropdown tables - Production'!G3)</f>
        <v/>
      </c>
      <c r="P5" s="327" t="str">
        <f>IF(Table15[[#This Row],[Species in production]] = "", "", SUMIFS(Table126[ASC certified net production volume (tonnes)],Table126[Species in production (Latin name) (select)],Table15[[#This Row],[Species in production]]))</f>
        <v/>
      </c>
      <c r="Q5" s="327" t="str">
        <f>IFERROR((SUMIFS(Table4[Amount of active component (kg)],Table4[Species in production (Latin name) (select)],Table15[[#This Row],[Species in production]],Table4[Type of treatment (select)], "Antibiotic")/Table15[[#This Row],[ASC certified net production volume (tonnes)]]), "")</f>
        <v/>
      </c>
      <c r="R5" s="327" t="str">
        <f>IFERROR((SUMIFS(Table4[Notes],Table4[Cycle ID
(select)],Table15[[#This Row],[ASC certified net production volume (tonnes)]],Table4[Reason for use], "Antibiotic")/Table15[[#This Row],[Antibiotic load (kg/tonne)]]), "")</f>
        <v/>
      </c>
      <c r="S5" s="327" t="str">
        <f>IFERROR((SUMIFS(Table4[Species in production (Latin name) (select)],Table4[Start date of treatment
(dd-mm-yyyy)],Table15[[#This Row],[Antibiotic load (kg/tonne)]],Table4[Active component name], "Antibiotic")/Table15[[#This Row],[Species in production]]), "")</f>
        <v/>
      </c>
      <c r="T5" s="327" t="str">
        <f>IFERROR((SUMIFS(Table4[Cycle ID
(select)],Table4[End date of treatment
(dd-mm-yyyy)],Table15[[#This Row],[Species in production]],Table4[Product name], "Antibiotic")/Table15[[#This Row],[ASC certified net production volume (tonnes)]]), "")</f>
        <v/>
      </c>
      <c r="U5" s="327" t="str">
        <f>IFERROR((SUMIFS(Table4[Start date of treatment
(dd-mm-yyyy)],Table4[Type of treatment (select)],Table15[[#This Row],[ASC certified net production volume (tonnes)]],Table4[WHO classification (select)], "Antibiotic")/Table15[[#This Row],[Antibiotic load (kg/tonne)]]), "")</f>
        <v/>
      </c>
      <c r="V5" s="327" t="str">
        <f>IFERROR((SUMIFS(Table4[End date of treatment
(dd-mm-yyyy)],Table4[Reason for use],Table15[[#This Row],[Antibiotic load (kg/tonne)]],Table4[Amount of active component (kg)], "Antibiotic")/Table15[[#This Row],[Species in production]]), "")</f>
        <v/>
      </c>
      <c r="W5" s="327" t="str">
        <f>IFERROR((SUMIFS(Table4[Type of treatment (select)],Table4[Active component name],Table15[[#This Row],[Species in production]],Table4[Notes], "Antibiotic")/Table15[[#This Row],[ASC certified net production volume (tonnes)]]), "")</f>
        <v/>
      </c>
    </row>
    <row r="6" spans="3:23" x14ac:dyDescent="0.4">
      <c r="C6" s="31"/>
      <c r="D6" s="235"/>
      <c r="E6" s="152"/>
      <c r="F6" s="152"/>
      <c r="G6" s="31"/>
      <c r="H6" s="31"/>
      <c r="I6" s="31"/>
      <c r="J6" s="31"/>
      <c r="K6" s="31"/>
      <c r="L6" s="30"/>
      <c r="M6" s="235"/>
      <c r="N6" s="40"/>
      <c r="O6" s="328" t="str">
        <f>IF('Dropdown tables - Production'!G4 = 0, "", 'Dropdown tables - Production'!G4)</f>
        <v/>
      </c>
      <c r="P6" s="329" t="str">
        <f>IF(Table15[[#This Row],[Species in production]] = "", "", SUMIFS(Table126[ASC certified net production volume (tonnes)],Table126[Species in production (Latin name) (select)],Table15[[#This Row],[Species in production]]))</f>
        <v/>
      </c>
      <c r="Q6" s="329" t="str">
        <f>IFERROR((SUMIFS(Table4[Amount of active component (kg)],Table4[Species in production (Latin name) (select)],Table15[[#This Row],[Species in production]],Table4[Type of treatment (select)], "Antibiotic")/Table15[[#This Row],[ASC certified net production volume (tonnes)]]), "")</f>
        <v/>
      </c>
      <c r="S6" s="328" t="str">
        <f>IF('Dropdown tables - Production'!K4=0, "", 'Dropdown tables - Production'!K4)</f>
        <v/>
      </c>
      <c r="T6" s="329" t="str">
        <f>IF('Dropdown tables - Production'!L4=0, "", 'Dropdown tables - Production'!L4)</f>
        <v/>
      </c>
      <c r="U6" s="329" t="str">
        <f>IF('Dropdown tables - Production'!M4=0, "", 'Dropdown tables - Production'!M4)</f>
        <v/>
      </c>
      <c r="V6" s="329" t="str">
        <f>IF(Table8[[#This Row],[Species in production]]="", "", SUMIFS(Table126[ASC certified net production volume (tonnes)],Table126[Species in production (Latin name) (select)],Table8[[#This Row],[Species in production]],Table126[Cycle ID],Table8[[#This Row],[Cycle ID]]))</f>
        <v/>
      </c>
      <c r="W6"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7" spans="3:23" x14ac:dyDescent="0.4">
      <c r="C7" s="31"/>
      <c r="D7" s="235"/>
      <c r="E7" s="152"/>
      <c r="F7" s="152"/>
      <c r="G7" s="31"/>
      <c r="H7" s="31"/>
      <c r="I7" s="31"/>
      <c r="J7" s="31"/>
      <c r="K7" s="31"/>
      <c r="L7" s="30"/>
      <c r="M7" s="235"/>
      <c r="N7" s="40"/>
      <c r="O7" s="328" t="str">
        <f>IF('Dropdown tables - Production'!G5 = 0, "", 'Dropdown tables - Production'!G5)</f>
        <v/>
      </c>
      <c r="P7" s="329" t="str">
        <f>IF(Table15[[#This Row],[Species in production]] = "", "", SUMIFS(Table126[ASC certified net production volume (tonnes)],Table126[Species in production (Latin name) (select)],Table15[[#This Row],[Species in production]]))</f>
        <v/>
      </c>
      <c r="Q7" s="329" t="str">
        <f>IFERROR((SUMIFS(Table4[Amount of active component (kg)],Table4[Species in production (Latin name) (select)],Table15[[#This Row],[Species in production]],Table4[Type of treatment (select)], "Antibiotic")/Table15[[#This Row],[ASC certified net production volume (tonnes)]]), "")</f>
        <v/>
      </c>
      <c r="S7" s="328" t="str">
        <f>IF('Dropdown tables - Production'!K5=0, "", 'Dropdown tables - Production'!K5)</f>
        <v/>
      </c>
      <c r="T7" s="329" t="str">
        <f>IF('Dropdown tables - Production'!L5=0, "", 'Dropdown tables - Production'!L5)</f>
        <v/>
      </c>
      <c r="U7" s="329" t="str">
        <f>IF('Dropdown tables - Production'!M5=0, "", 'Dropdown tables - Production'!M5)</f>
        <v/>
      </c>
      <c r="V7" s="329" t="str">
        <f>IF(Table8[[#This Row],[Species in production]]="", "", SUMIFS(Table126[ASC certified net production volume (tonnes)],Table126[Species in production (Latin name) (select)],Table8[[#This Row],[Species in production]],Table126[Cycle ID],Table8[[#This Row],[Cycle ID]]))</f>
        <v/>
      </c>
      <c r="W7"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8" spans="3:23" x14ac:dyDescent="0.4">
      <c r="C8" s="31"/>
      <c r="D8" s="235"/>
      <c r="E8" s="152"/>
      <c r="F8" s="152"/>
      <c r="G8" s="31"/>
      <c r="H8" s="31"/>
      <c r="I8" s="31"/>
      <c r="J8" s="31"/>
      <c r="K8" s="31"/>
      <c r="L8" s="30"/>
      <c r="M8" s="235"/>
      <c r="N8" s="40"/>
      <c r="O8" s="328" t="str">
        <f>IF('Dropdown tables - Production'!G6 = 0, "", 'Dropdown tables - Production'!G6)</f>
        <v/>
      </c>
      <c r="P8" s="329" t="str">
        <f>IF(Table15[[#This Row],[Species in production]] = "", "", SUMIFS(Table126[ASC certified net production volume (tonnes)],Table126[Species in production (Latin name) (select)],Table15[[#This Row],[Species in production]]))</f>
        <v/>
      </c>
      <c r="Q8" s="329" t="str">
        <f>IFERROR((SUMIFS(Table4[Amount of active component (kg)],Table4[Species in production (Latin name) (select)],Table15[[#This Row],[Species in production]],Table4[Type of treatment (select)], "Antibiotic")/Table15[[#This Row],[ASC certified net production volume (tonnes)]]), "")</f>
        <v/>
      </c>
      <c r="S8" s="328" t="str">
        <f>IF('Dropdown tables - Production'!K6=0, "", 'Dropdown tables - Production'!K6)</f>
        <v/>
      </c>
      <c r="T8" s="329" t="str">
        <f>IF('Dropdown tables - Production'!L6=0, "", 'Dropdown tables - Production'!L6)</f>
        <v/>
      </c>
      <c r="U8" s="329" t="str">
        <f>IF('Dropdown tables - Production'!M6=0, "", 'Dropdown tables - Production'!M6)</f>
        <v/>
      </c>
      <c r="V8" s="329" t="str">
        <f>IF(Table8[[#This Row],[Species in production]]="", "", SUMIFS(Table126[ASC certified net production volume (tonnes)],Table126[Species in production (Latin name) (select)],Table8[[#This Row],[Species in production]],Table126[Cycle ID],Table8[[#This Row],[Cycle ID]]))</f>
        <v/>
      </c>
      <c r="W8"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9" spans="3:23" x14ac:dyDescent="0.4">
      <c r="C9" s="31"/>
      <c r="D9" s="235"/>
      <c r="E9" s="152"/>
      <c r="F9" s="152"/>
      <c r="G9" s="31"/>
      <c r="H9" s="31"/>
      <c r="I9" s="31"/>
      <c r="J9" s="31"/>
      <c r="K9" s="31"/>
      <c r="L9" s="30"/>
      <c r="M9" s="235"/>
      <c r="N9" s="40"/>
      <c r="O9" s="328" t="str">
        <f>IF('Dropdown tables - Production'!G7 = 0, "", 'Dropdown tables - Production'!G7)</f>
        <v/>
      </c>
      <c r="P9" s="329" t="str">
        <f>IF(Table15[[#This Row],[Species in production]] = "", "", SUMIFS(Table126[ASC certified net production volume (tonnes)],Table126[Species in production (Latin name) (select)],Table15[[#This Row],[Species in production]]))</f>
        <v/>
      </c>
      <c r="Q9" s="329" t="str">
        <f>IFERROR((SUMIFS(Table4[Amount of active component (kg)],Table4[Species in production (Latin name) (select)],Table15[[#This Row],[Species in production]],Table4[Type of treatment (select)], "Antibiotic")/Table15[[#This Row],[ASC certified net production volume (tonnes)]]), "")</f>
        <v/>
      </c>
      <c r="S9" s="328" t="str">
        <f>IF('Dropdown tables - Production'!K7=0, "", 'Dropdown tables - Production'!K7)</f>
        <v/>
      </c>
      <c r="T9" s="329" t="str">
        <f>IF('Dropdown tables - Production'!L7=0, "", 'Dropdown tables - Production'!L7)</f>
        <v/>
      </c>
      <c r="U9" s="329" t="str">
        <f>IF('Dropdown tables - Production'!M7=0, "", 'Dropdown tables - Production'!M7)</f>
        <v/>
      </c>
      <c r="V9" s="329" t="str">
        <f>IF(Table8[[#This Row],[Species in production]]="", "", SUMIFS(Table126[ASC certified net production volume (tonnes)],Table126[Species in production (Latin name) (select)],Table8[[#This Row],[Species in production]],Table126[Cycle ID],Table8[[#This Row],[Cycle ID]]))</f>
        <v/>
      </c>
      <c r="W9"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10" spans="3:23" x14ac:dyDescent="0.4">
      <c r="C10" s="31"/>
      <c r="D10" s="235"/>
      <c r="E10" s="152"/>
      <c r="F10" s="152"/>
      <c r="G10" s="31"/>
      <c r="H10" s="31"/>
      <c r="I10" s="31"/>
      <c r="J10" s="31"/>
      <c r="K10" s="31"/>
      <c r="L10" s="30"/>
      <c r="M10" s="235"/>
      <c r="N10" s="40"/>
      <c r="O10" s="328" t="str">
        <f>IF('Dropdown tables - Production'!G8 = 0, "", 'Dropdown tables - Production'!G8)</f>
        <v/>
      </c>
      <c r="P10" s="329" t="str">
        <f>IF(Table15[[#This Row],[Species in production]] = "", "", SUMIFS(Table126[ASC certified net production volume (tonnes)],Table126[Species in production (Latin name) (select)],Table15[[#This Row],[Species in production]]))</f>
        <v/>
      </c>
      <c r="Q10" s="329" t="str">
        <f>IFERROR((SUMIFS(Table4[Amount of active component (kg)],Table4[Species in production (Latin name) (select)],Table15[[#This Row],[Species in production]],Table4[Type of treatment (select)], "Antibiotic")/Table15[[#This Row],[ASC certified net production volume (tonnes)]]), "")</f>
        <v/>
      </c>
      <c r="S10" s="328" t="str">
        <f>IF('Dropdown tables - Production'!K8=0, "", 'Dropdown tables - Production'!K8)</f>
        <v/>
      </c>
      <c r="T10" s="329" t="str">
        <f>IF('Dropdown tables - Production'!L8=0, "", 'Dropdown tables - Production'!L8)</f>
        <v/>
      </c>
      <c r="U10" s="329" t="str">
        <f>IF('Dropdown tables - Production'!M8=0, "", 'Dropdown tables - Production'!M8)</f>
        <v/>
      </c>
      <c r="V10" s="329" t="str">
        <f>IF(Table8[[#This Row],[Species in production]]="", "", SUMIFS(Table126[ASC certified net production volume (tonnes)],Table126[Species in production (Latin name) (select)],Table8[[#This Row],[Species in production]],Table126[Cycle ID],Table8[[#This Row],[Cycle ID]]))</f>
        <v/>
      </c>
      <c r="W10"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11" spans="3:23" x14ac:dyDescent="0.4">
      <c r="C11" s="31"/>
      <c r="D11" s="235"/>
      <c r="E11" s="152"/>
      <c r="F11" s="152"/>
      <c r="G11" s="31"/>
      <c r="H11" s="31"/>
      <c r="I11" s="31"/>
      <c r="J11" s="31"/>
      <c r="K11" s="31"/>
      <c r="L11" s="30"/>
      <c r="M11" s="235"/>
      <c r="N11" s="40"/>
      <c r="O11" s="328" t="str">
        <f>IF('Dropdown tables - Production'!G9 = 0, "", 'Dropdown tables - Production'!G9)</f>
        <v/>
      </c>
      <c r="P11" s="329" t="str">
        <f>IF(Table15[[#This Row],[Species in production]] = "", "", SUMIFS(Table126[ASC certified net production volume (tonnes)],Table126[Species in production (Latin name) (select)],Table15[[#This Row],[Species in production]]))</f>
        <v/>
      </c>
      <c r="Q11" s="329" t="str">
        <f>IFERROR((SUMIFS(Table4[Amount of active component (kg)],Table4[Species in production (Latin name) (select)],Table15[[#This Row],[Species in production]],Table4[Type of treatment (select)], "Antibiotic")/Table15[[#This Row],[ASC certified net production volume (tonnes)]]), "")</f>
        <v/>
      </c>
      <c r="S11" s="328" t="str">
        <f>IF('Dropdown tables - Production'!K9=0, "", 'Dropdown tables - Production'!K9)</f>
        <v/>
      </c>
      <c r="T11" s="329" t="str">
        <f>IF('Dropdown tables - Production'!L9=0, "", 'Dropdown tables - Production'!L9)</f>
        <v/>
      </c>
      <c r="U11" s="329" t="str">
        <f>IF('Dropdown tables - Production'!M9=0, "", 'Dropdown tables - Production'!M9)</f>
        <v/>
      </c>
      <c r="V11" s="329" t="str">
        <f>IF(Table8[[#This Row],[Species in production]]="", "", SUMIFS(Table126[ASC certified net production volume (tonnes)],Table126[Species in production (Latin name) (select)],Table8[[#This Row],[Species in production]],Table126[Cycle ID],Table8[[#This Row],[Cycle ID]]))</f>
        <v/>
      </c>
      <c r="W11"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12" spans="3:23" x14ac:dyDescent="0.4">
      <c r="C12" s="31"/>
      <c r="D12" s="235"/>
      <c r="E12" s="152"/>
      <c r="F12" s="152"/>
      <c r="G12" s="31"/>
      <c r="H12" s="31"/>
      <c r="I12" s="31"/>
      <c r="J12" s="31"/>
      <c r="K12" s="31"/>
      <c r="L12" s="30"/>
      <c r="M12" s="235"/>
      <c r="N12" s="40"/>
      <c r="O12" s="328" t="str">
        <f>IF('Dropdown tables - Production'!G10 = 0, "", 'Dropdown tables - Production'!G10)</f>
        <v/>
      </c>
      <c r="P12" s="329" t="str">
        <f>IF(Table15[[#This Row],[Species in production]] = "", "", SUMIFS(Table126[ASC certified net production volume (tonnes)],Table126[Species in production (Latin name) (select)],Table15[[#This Row],[Species in production]]))</f>
        <v/>
      </c>
      <c r="Q12" s="329" t="str">
        <f>IFERROR((SUMIFS(Table4[Amount of active component (kg)],Table4[Species in production (Latin name) (select)],Table15[[#This Row],[Species in production]],Table4[Type of treatment (select)], "Antibiotic")/Table15[[#This Row],[ASC certified net production volume (tonnes)]]), "")</f>
        <v/>
      </c>
      <c r="S12" s="328" t="str">
        <f>IF('Dropdown tables - Production'!K10=0, "", 'Dropdown tables - Production'!K10)</f>
        <v/>
      </c>
      <c r="T12" s="329" t="str">
        <f>IF('Dropdown tables - Production'!L10=0, "", 'Dropdown tables - Production'!L10)</f>
        <v/>
      </c>
      <c r="U12" s="329" t="str">
        <f>IF('Dropdown tables - Production'!M10=0, "", 'Dropdown tables - Production'!M10)</f>
        <v/>
      </c>
      <c r="V12" s="329" t="str">
        <f>IF(Table8[[#This Row],[Species in production]]="", "", SUMIFS(Table126[ASC certified net production volume (tonnes)],Table126[Species in production (Latin name) (select)],Table8[[#This Row],[Species in production]],Table126[Cycle ID],Table8[[#This Row],[Cycle ID]]))</f>
        <v/>
      </c>
      <c r="W12"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13" spans="3:23" x14ac:dyDescent="0.4">
      <c r="C13" s="31"/>
      <c r="D13" s="235"/>
      <c r="E13" s="152"/>
      <c r="F13" s="152"/>
      <c r="G13" s="31"/>
      <c r="H13" s="31"/>
      <c r="I13" s="31"/>
      <c r="J13" s="31"/>
      <c r="K13" s="31"/>
      <c r="L13" s="30"/>
      <c r="M13" s="235"/>
      <c r="N13" s="40"/>
      <c r="O13" s="328" t="str">
        <f>IF('Dropdown tables - Production'!G11 = 0, "", 'Dropdown tables - Production'!G11)</f>
        <v/>
      </c>
      <c r="P13" s="329" t="str">
        <f>IF(Table15[[#This Row],[Species in production]] = "", "", SUMIFS(Table126[ASC certified net production volume (tonnes)],Table126[Species in production (Latin name) (select)],Table15[[#This Row],[Species in production]]))</f>
        <v/>
      </c>
      <c r="Q13" s="329" t="str">
        <f>IFERROR((SUMIFS(Table4[Amount of active component (kg)],Table4[Species in production (Latin name) (select)],Table15[[#This Row],[Species in production]],Table4[Type of treatment (select)], "Antibiotic")/Table15[[#This Row],[ASC certified net production volume (tonnes)]]), "")</f>
        <v/>
      </c>
      <c r="S13" s="328" t="str">
        <f>IF('Dropdown tables - Production'!K11=0, "", 'Dropdown tables - Production'!K11)</f>
        <v/>
      </c>
      <c r="T13" s="329" t="str">
        <f>IF('Dropdown tables - Production'!L11=0, "", 'Dropdown tables - Production'!L11)</f>
        <v/>
      </c>
      <c r="U13" s="329" t="str">
        <f>IF('Dropdown tables - Production'!M11=0, "", 'Dropdown tables - Production'!M11)</f>
        <v/>
      </c>
      <c r="V13" s="329" t="str">
        <f>IF(Table8[[#This Row],[Species in production]]="", "", SUMIFS(Table126[ASC certified net production volume (tonnes)],Table126[Species in production (Latin name) (select)],Table8[[#This Row],[Species in production]],Table126[Cycle ID],Table8[[#This Row],[Cycle ID]]))</f>
        <v/>
      </c>
      <c r="W13"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14" spans="3:23" x14ac:dyDescent="0.4">
      <c r="C14" s="31"/>
      <c r="D14" s="235"/>
      <c r="E14" s="152"/>
      <c r="F14" s="152"/>
      <c r="G14" s="31"/>
      <c r="H14" s="31"/>
      <c r="I14" s="31"/>
      <c r="J14" s="31"/>
      <c r="K14" s="31"/>
      <c r="L14" s="30"/>
      <c r="M14" s="235"/>
      <c r="N14" s="40"/>
      <c r="O14" s="328" t="str">
        <f>IF('Dropdown tables - Production'!G12 = 0, "", 'Dropdown tables - Production'!G12)</f>
        <v/>
      </c>
      <c r="P14" s="329" t="str">
        <f>IF(Table15[[#This Row],[Species in production]] = "", "", SUMIFS(Table126[ASC certified net production volume (tonnes)],Table126[Species in production (Latin name) (select)],Table15[[#This Row],[Species in production]]))</f>
        <v/>
      </c>
      <c r="Q14" s="329" t="str">
        <f>IFERROR((SUMIFS(Table4[Amount of active component (kg)],Table4[Species in production (Latin name) (select)],Table15[[#This Row],[Species in production]],Table4[Type of treatment (select)], "Antibiotic")/Table15[[#This Row],[ASC certified net production volume (tonnes)]]), "")</f>
        <v/>
      </c>
      <c r="S14" s="328" t="str">
        <f>IF('Dropdown tables - Production'!K12=0, "", 'Dropdown tables - Production'!K12)</f>
        <v/>
      </c>
      <c r="T14" s="329" t="str">
        <f>IF('Dropdown tables - Production'!L12=0, "", 'Dropdown tables - Production'!L12)</f>
        <v/>
      </c>
      <c r="U14" s="329" t="str">
        <f>IF('Dropdown tables - Production'!M12=0, "", 'Dropdown tables - Production'!M12)</f>
        <v/>
      </c>
      <c r="V14" s="329" t="str">
        <f>IF(Table8[[#This Row],[Species in production]]="", "", SUMIFS(Table126[ASC certified net production volume (tonnes)],Table126[Species in production (Latin name) (select)],Table8[[#This Row],[Species in production]],Table126[Cycle ID],Table8[[#This Row],[Cycle ID]]))</f>
        <v/>
      </c>
      <c r="W14"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15" spans="3:23" x14ac:dyDescent="0.4">
      <c r="C15" s="31"/>
      <c r="D15" s="235"/>
      <c r="E15" s="152"/>
      <c r="F15" s="152"/>
      <c r="G15" s="31"/>
      <c r="H15" s="31"/>
      <c r="I15" s="31"/>
      <c r="J15" s="31"/>
      <c r="K15" s="31"/>
      <c r="L15" s="30"/>
      <c r="M15" s="235"/>
      <c r="N15" s="40"/>
      <c r="O15" s="328" t="str">
        <f>IF('Dropdown tables - Production'!G13 = 0, "", 'Dropdown tables - Production'!G13)</f>
        <v/>
      </c>
      <c r="P15" s="329" t="str">
        <f>IF(Table15[[#This Row],[Species in production]] = "", "", SUMIFS(Table126[ASC certified net production volume (tonnes)],Table126[Species in production (Latin name) (select)],Table15[[#This Row],[Species in production]]))</f>
        <v/>
      </c>
      <c r="Q15" s="329" t="str">
        <f>IFERROR((SUMIFS(Table4[Amount of active component (kg)],Table4[Species in production (Latin name) (select)],Table15[[#This Row],[Species in production]],Table4[Type of treatment (select)], "Antibiotic")/Table15[[#This Row],[ASC certified net production volume (tonnes)]]), "")</f>
        <v/>
      </c>
      <c r="S15" s="328" t="str">
        <f>IF('Dropdown tables - Production'!K13=0, "", 'Dropdown tables - Production'!K13)</f>
        <v/>
      </c>
      <c r="T15" s="329" t="str">
        <f>IF('Dropdown tables - Production'!L13=0, "", 'Dropdown tables - Production'!L13)</f>
        <v/>
      </c>
      <c r="U15" s="329" t="str">
        <f>IF('Dropdown tables - Production'!M13=0, "", 'Dropdown tables - Production'!M13)</f>
        <v/>
      </c>
      <c r="V15" s="329" t="str">
        <f>IF(Table8[[#This Row],[Species in production]]="", "", SUMIFS(Table126[ASC certified net production volume (tonnes)],Table126[Species in production (Latin name) (select)],Table8[[#This Row],[Species in production]],Table126[Cycle ID],Table8[[#This Row],[Cycle ID]]))</f>
        <v/>
      </c>
      <c r="W15"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16" spans="3:23" x14ac:dyDescent="0.4">
      <c r="C16" s="31"/>
      <c r="D16" s="235"/>
      <c r="E16" s="152"/>
      <c r="F16" s="152"/>
      <c r="G16" s="31"/>
      <c r="H16" s="31"/>
      <c r="I16" s="31"/>
      <c r="J16" s="31"/>
      <c r="K16" s="31"/>
      <c r="L16" s="30"/>
      <c r="M16" s="235"/>
      <c r="N16" s="40"/>
      <c r="O16" s="328" t="str">
        <f>IF('Dropdown tables - Production'!G14 = 0, "", 'Dropdown tables - Production'!G14)</f>
        <v/>
      </c>
      <c r="P16" s="329" t="str">
        <f>IF(Table15[[#This Row],[Species in production]] = "", "", SUMIFS(Table126[ASC certified net production volume (tonnes)],Table126[Species in production (Latin name) (select)],Table15[[#This Row],[Species in production]]))</f>
        <v/>
      </c>
      <c r="Q16" s="329" t="str">
        <f>IFERROR((SUMIFS(Table4[Amount of active component (kg)],Table4[Species in production (Latin name) (select)],Table15[[#This Row],[Species in production]],Table4[Type of treatment (select)], "Antibiotic")/Table15[[#This Row],[ASC certified net production volume (tonnes)]]), "")</f>
        <v/>
      </c>
      <c r="S16" s="328" t="str">
        <f>IF('Dropdown tables - Production'!K14=0, "", 'Dropdown tables - Production'!K14)</f>
        <v/>
      </c>
      <c r="T16" s="329" t="str">
        <f>IF('Dropdown tables - Production'!L14=0, "", 'Dropdown tables - Production'!L14)</f>
        <v/>
      </c>
      <c r="U16" s="329" t="str">
        <f>IF('Dropdown tables - Production'!M14=0, "", 'Dropdown tables - Production'!M14)</f>
        <v/>
      </c>
      <c r="V16" s="329" t="str">
        <f>IF(Table8[[#This Row],[Species in production]]="", "", SUMIFS(Table126[ASC certified net production volume (tonnes)],Table126[Species in production (Latin name) (select)],Table8[[#This Row],[Species in production]],Table126[Cycle ID],Table8[[#This Row],[Cycle ID]]))</f>
        <v/>
      </c>
      <c r="W16"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17" spans="3:23" x14ac:dyDescent="0.4">
      <c r="C17" s="31"/>
      <c r="D17" s="235"/>
      <c r="E17" s="152"/>
      <c r="F17" s="152"/>
      <c r="G17" s="31"/>
      <c r="H17" s="31"/>
      <c r="I17" s="31"/>
      <c r="J17" s="31"/>
      <c r="K17" s="31"/>
      <c r="L17" s="30"/>
      <c r="M17" s="235"/>
      <c r="N17" s="40"/>
      <c r="O17" s="328" t="str">
        <f>IF('Dropdown tables - Production'!G15 = 0, "", 'Dropdown tables - Production'!G15)</f>
        <v/>
      </c>
      <c r="P17" s="329" t="str">
        <f>IF(Table15[[#This Row],[Species in production]] = "", "", SUMIFS(Table126[ASC certified net production volume (tonnes)],Table126[Species in production (Latin name) (select)],Table15[[#This Row],[Species in production]]))</f>
        <v/>
      </c>
      <c r="Q17" s="329" t="str">
        <f>IFERROR((SUMIFS(Table4[Amount of active component (kg)],Table4[Species in production (Latin name) (select)],Table15[[#This Row],[Species in production]],Table4[Type of treatment (select)], "Antibiotic")/Table15[[#This Row],[ASC certified net production volume (tonnes)]]), "")</f>
        <v/>
      </c>
      <c r="S17" s="328" t="str">
        <f>IF('Dropdown tables - Production'!K15=0, "", 'Dropdown tables - Production'!K15)</f>
        <v/>
      </c>
      <c r="T17" s="329" t="str">
        <f>IF('Dropdown tables - Production'!L15=0, "", 'Dropdown tables - Production'!L15)</f>
        <v/>
      </c>
      <c r="U17" s="329" t="str">
        <f>IF('Dropdown tables - Production'!M15=0, "", 'Dropdown tables - Production'!M15)</f>
        <v/>
      </c>
      <c r="V17" s="329" t="str">
        <f>IF(Table8[[#This Row],[Species in production]]="", "", SUMIFS(Table126[ASC certified net production volume (tonnes)],Table126[Species in production (Latin name) (select)],Table8[[#This Row],[Species in production]],Table126[Cycle ID],Table8[[#This Row],[Cycle ID]]))</f>
        <v/>
      </c>
      <c r="W17"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18" spans="3:23" x14ac:dyDescent="0.4">
      <c r="C18" s="31"/>
      <c r="D18" s="235"/>
      <c r="E18" s="152"/>
      <c r="F18" s="152"/>
      <c r="G18" s="31"/>
      <c r="H18" s="31"/>
      <c r="I18" s="31"/>
      <c r="J18" s="31"/>
      <c r="K18" s="31"/>
      <c r="L18" s="30"/>
      <c r="M18" s="235"/>
      <c r="N18" s="40"/>
      <c r="O18" s="328" t="str">
        <f>IF('Dropdown tables - Production'!G16 = 0, "", 'Dropdown tables - Production'!G16)</f>
        <v/>
      </c>
      <c r="P18" s="329" t="str">
        <f>IF(Table15[[#This Row],[Species in production]] = "", "", SUMIFS(Table126[ASC certified net production volume (tonnes)],Table126[Species in production (Latin name) (select)],Table15[[#This Row],[Species in production]]))</f>
        <v/>
      </c>
      <c r="Q18" s="329" t="str">
        <f>IFERROR((SUMIFS(Table4[Amount of active component (kg)],Table4[Species in production (Latin name) (select)],Table15[[#This Row],[Species in production]],Table4[Type of treatment (select)], "Antibiotic")/Table15[[#This Row],[ASC certified net production volume (tonnes)]]), "")</f>
        <v/>
      </c>
      <c r="S18" s="328" t="str">
        <f>IF('Dropdown tables - Production'!K16=0, "", 'Dropdown tables - Production'!K16)</f>
        <v/>
      </c>
      <c r="T18" s="329" t="str">
        <f>IF('Dropdown tables - Production'!L16=0, "", 'Dropdown tables - Production'!L16)</f>
        <v/>
      </c>
      <c r="U18" s="329" t="str">
        <f>IF('Dropdown tables - Production'!M16=0, "", 'Dropdown tables - Production'!M16)</f>
        <v/>
      </c>
      <c r="V18" s="329" t="str">
        <f>IF(Table8[[#This Row],[Species in production]]="", "", SUMIFS(Table126[ASC certified net production volume (tonnes)],Table126[Species in production (Latin name) (select)],Table8[[#This Row],[Species in production]],Table126[Cycle ID],Table8[[#This Row],[Cycle ID]]))</f>
        <v/>
      </c>
      <c r="W18"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19" spans="3:23" x14ac:dyDescent="0.4">
      <c r="C19" s="31"/>
      <c r="D19" s="235"/>
      <c r="E19" s="152"/>
      <c r="F19" s="152"/>
      <c r="G19" s="31"/>
      <c r="H19" s="31"/>
      <c r="I19" s="31"/>
      <c r="J19" s="31"/>
      <c r="K19" s="31"/>
      <c r="L19" s="30"/>
      <c r="M19" s="235"/>
      <c r="N19" s="40"/>
      <c r="O19" s="328" t="str">
        <f>IF('Dropdown tables - Production'!G17 = 0, "", 'Dropdown tables - Production'!G17)</f>
        <v/>
      </c>
      <c r="P19" s="329" t="str">
        <f>IF(Table15[[#This Row],[Species in production]] = "", "", SUMIFS(Table126[ASC certified net production volume (tonnes)],Table126[Species in production (Latin name) (select)],Table15[[#This Row],[Species in production]]))</f>
        <v/>
      </c>
      <c r="Q19" s="329" t="str">
        <f>IFERROR((SUMIFS(Table4[Amount of active component (kg)],Table4[Species in production (Latin name) (select)],Table15[[#This Row],[Species in production]],Table4[Type of treatment (select)], "Antibiotic")/Table15[[#This Row],[ASC certified net production volume (tonnes)]]), "")</f>
        <v/>
      </c>
      <c r="S19" s="328" t="str">
        <f>IF('Dropdown tables - Production'!K17=0, "", 'Dropdown tables - Production'!K17)</f>
        <v/>
      </c>
      <c r="T19" s="329" t="str">
        <f>IF('Dropdown tables - Production'!L17=0, "", 'Dropdown tables - Production'!L17)</f>
        <v/>
      </c>
      <c r="U19" s="329" t="str">
        <f>IF('Dropdown tables - Production'!M17=0, "", 'Dropdown tables - Production'!M17)</f>
        <v/>
      </c>
      <c r="V19" s="329" t="str">
        <f>IF(Table8[[#This Row],[Species in production]]="", "", SUMIFS(Table126[ASC certified net production volume (tonnes)],Table126[Species in production (Latin name) (select)],Table8[[#This Row],[Species in production]],Table126[Cycle ID],Table8[[#This Row],[Cycle ID]]))</f>
        <v/>
      </c>
      <c r="W19"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20" spans="3:23" x14ac:dyDescent="0.4">
      <c r="C20" s="31"/>
      <c r="D20" s="235"/>
      <c r="E20" s="152"/>
      <c r="F20" s="152"/>
      <c r="G20" s="31"/>
      <c r="H20" s="31"/>
      <c r="I20" s="31"/>
      <c r="J20" s="31"/>
      <c r="K20" s="31"/>
      <c r="L20" s="30"/>
      <c r="M20" s="235"/>
      <c r="N20" s="40"/>
      <c r="O20" s="328" t="str">
        <f>IF('Dropdown tables - Production'!G18 = 0, "", 'Dropdown tables - Production'!G18)</f>
        <v/>
      </c>
      <c r="P20" s="329" t="str">
        <f>IF(Table15[[#This Row],[Species in production]] = "", "", SUMIFS(Table126[ASC certified net production volume (tonnes)],Table126[Species in production (Latin name) (select)],Table15[[#This Row],[Species in production]]))</f>
        <v/>
      </c>
      <c r="Q20" s="329" t="str">
        <f>IFERROR((SUMIFS(Table4[Amount of active component (kg)],Table4[Species in production (Latin name) (select)],Table15[[#This Row],[Species in production]],Table4[Type of treatment (select)], "Antibiotic")/Table15[[#This Row],[ASC certified net production volume (tonnes)]]), "")</f>
        <v/>
      </c>
      <c r="S20" s="328" t="str">
        <f>IF('Dropdown tables - Production'!K18=0, "", 'Dropdown tables - Production'!K18)</f>
        <v/>
      </c>
      <c r="T20" s="329" t="str">
        <f>IF('Dropdown tables - Production'!L18=0, "", 'Dropdown tables - Production'!L18)</f>
        <v/>
      </c>
      <c r="U20" s="329" t="str">
        <f>IF('Dropdown tables - Production'!M18=0, "", 'Dropdown tables - Production'!M18)</f>
        <v/>
      </c>
      <c r="V20" s="329" t="str">
        <f>IF(Table8[[#This Row],[Species in production]]="", "", SUMIFS(Table126[ASC certified net production volume (tonnes)],Table126[Species in production (Latin name) (select)],Table8[[#This Row],[Species in production]],Table126[Cycle ID],Table8[[#This Row],[Cycle ID]]))</f>
        <v/>
      </c>
      <c r="W20"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21" spans="3:23" x14ac:dyDescent="0.4">
      <c r="C21" s="31"/>
      <c r="D21" s="235"/>
      <c r="E21" s="152"/>
      <c r="F21" s="152"/>
      <c r="G21" s="31"/>
      <c r="H21" s="31"/>
      <c r="I21" s="31"/>
      <c r="J21" s="31"/>
      <c r="K21" s="31"/>
      <c r="L21" s="30"/>
      <c r="M21" s="235"/>
      <c r="N21" s="40"/>
      <c r="O21" s="328" t="str">
        <f>IF('Dropdown tables - Production'!G19 = 0, "", 'Dropdown tables - Production'!G19)</f>
        <v/>
      </c>
      <c r="P21" s="329" t="str">
        <f>IF(Table15[[#This Row],[Species in production]] = "", "", SUMIFS(Table126[ASC certified net production volume (tonnes)],Table126[Species in production (Latin name) (select)],Table15[[#This Row],[Species in production]]))</f>
        <v/>
      </c>
      <c r="Q21" s="329" t="str">
        <f>IFERROR((SUMIFS(Table4[Amount of active component (kg)],Table4[Species in production (Latin name) (select)],Table15[[#This Row],[Species in production]],Table4[Type of treatment (select)], "Antibiotic")/Table15[[#This Row],[ASC certified net production volume (tonnes)]]), "")</f>
        <v/>
      </c>
      <c r="S21" s="328" t="str">
        <f>IF('Dropdown tables - Production'!K19=0, "", 'Dropdown tables - Production'!K19)</f>
        <v/>
      </c>
      <c r="T21" s="329" t="str">
        <f>IF('Dropdown tables - Production'!L19=0, "", 'Dropdown tables - Production'!L19)</f>
        <v/>
      </c>
      <c r="U21" s="329" t="str">
        <f>IF('Dropdown tables - Production'!M19=0, "", 'Dropdown tables - Production'!M19)</f>
        <v/>
      </c>
      <c r="V21" s="329" t="str">
        <f>IF(Table8[[#This Row],[Species in production]]="", "", SUMIFS(Table126[ASC certified net production volume (tonnes)],Table126[Species in production (Latin name) (select)],Table8[[#This Row],[Species in production]],Table126[Cycle ID],Table8[[#This Row],[Cycle ID]]))</f>
        <v/>
      </c>
      <c r="W21"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22" spans="3:23" x14ac:dyDescent="0.4">
      <c r="C22" s="31"/>
      <c r="D22" s="235"/>
      <c r="E22" s="152"/>
      <c r="F22" s="152"/>
      <c r="G22" s="31"/>
      <c r="H22" s="31"/>
      <c r="I22" s="31"/>
      <c r="J22" s="31"/>
      <c r="K22" s="31"/>
      <c r="L22" s="30"/>
      <c r="M22" s="235"/>
      <c r="N22" s="40"/>
      <c r="O22" s="328" t="str">
        <f>IF('Dropdown tables - Production'!G20 = 0, "", 'Dropdown tables - Production'!G20)</f>
        <v/>
      </c>
      <c r="P22" s="329" t="str">
        <f>IF(Table15[[#This Row],[Species in production]] = "", "", SUMIFS(Table126[ASC certified net production volume (tonnes)],Table126[Species in production (Latin name) (select)],Table15[[#This Row],[Species in production]]))</f>
        <v/>
      </c>
      <c r="Q22" s="329" t="str">
        <f>IFERROR((SUMIFS(Table4[Amount of active component (kg)],Table4[Species in production (Latin name) (select)],Table15[[#This Row],[Species in production]],Table4[Type of treatment (select)], "Antibiotic")/Table15[[#This Row],[ASC certified net production volume (tonnes)]]), "")</f>
        <v/>
      </c>
      <c r="S22" s="328" t="str">
        <f>IF('Dropdown tables - Production'!K20=0, "", 'Dropdown tables - Production'!K20)</f>
        <v/>
      </c>
      <c r="T22" s="329" t="str">
        <f>IF('Dropdown tables - Production'!L20=0, "", 'Dropdown tables - Production'!L20)</f>
        <v/>
      </c>
      <c r="U22" s="329" t="str">
        <f>IF('Dropdown tables - Production'!M20=0, "", 'Dropdown tables - Production'!M20)</f>
        <v/>
      </c>
      <c r="V22" s="329" t="str">
        <f>IF(Table8[[#This Row],[Species in production]]="", "", SUMIFS(Table126[ASC certified net production volume (tonnes)],Table126[Species in production (Latin name) (select)],Table8[[#This Row],[Species in production]],Table126[Cycle ID],Table8[[#This Row],[Cycle ID]]))</f>
        <v/>
      </c>
      <c r="W22"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23" spans="3:23" x14ac:dyDescent="0.4">
      <c r="C23" s="31"/>
      <c r="D23" s="235"/>
      <c r="E23" s="152"/>
      <c r="F23" s="152"/>
      <c r="G23" s="31"/>
      <c r="H23" s="31"/>
      <c r="I23" s="31"/>
      <c r="J23" s="31"/>
      <c r="K23" s="31"/>
      <c r="L23" s="30"/>
      <c r="M23" s="235"/>
      <c r="N23" s="40"/>
      <c r="O23" s="328" t="str">
        <f>IF('Dropdown tables - Production'!G21 = 0, "", 'Dropdown tables - Production'!G21)</f>
        <v/>
      </c>
      <c r="P23" s="329" t="str">
        <f>IF(Table15[[#This Row],[Species in production]] = "", "", SUMIFS(Table126[ASC certified net production volume (tonnes)],Table126[Species in production (Latin name) (select)],Table15[[#This Row],[Species in production]]))</f>
        <v/>
      </c>
      <c r="Q23" s="329" t="str">
        <f>IFERROR((SUMIFS(Table4[Amount of active component (kg)],Table4[Species in production (Latin name) (select)],Table15[[#This Row],[Species in production]],Table4[Type of treatment (select)], "Antibiotic")/Table15[[#This Row],[ASC certified net production volume (tonnes)]]), "")</f>
        <v/>
      </c>
      <c r="S23" s="328" t="str">
        <f>IF('Dropdown tables - Production'!K21=0, "", 'Dropdown tables - Production'!K21)</f>
        <v/>
      </c>
      <c r="T23" s="329" t="str">
        <f>IF('Dropdown tables - Production'!L21=0, "", 'Dropdown tables - Production'!L21)</f>
        <v/>
      </c>
      <c r="U23" s="329" t="str">
        <f>IF('Dropdown tables - Production'!M21=0, "", 'Dropdown tables - Production'!M21)</f>
        <v/>
      </c>
      <c r="V23" s="329" t="str">
        <f>IF(Table8[[#This Row],[Species in production]]="", "", SUMIFS(Table126[ASC certified net production volume (tonnes)],Table126[Species in production (Latin name) (select)],Table8[[#This Row],[Species in production]],Table126[Cycle ID],Table8[[#This Row],[Cycle ID]]))</f>
        <v/>
      </c>
      <c r="W23"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24" spans="3:23" x14ac:dyDescent="0.4">
      <c r="C24" s="31"/>
      <c r="D24" s="235"/>
      <c r="E24" s="152"/>
      <c r="F24" s="152"/>
      <c r="G24" s="31"/>
      <c r="H24" s="31"/>
      <c r="I24" s="31"/>
      <c r="J24" s="31"/>
      <c r="K24" s="31"/>
      <c r="L24" s="30"/>
      <c r="M24" s="235"/>
      <c r="N24" s="40"/>
      <c r="O24" s="328" t="str">
        <f>IF('Dropdown tables - Production'!G22 = 0, "", 'Dropdown tables - Production'!G22)</f>
        <v/>
      </c>
      <c r="P24" s="329" t="str">
        <f>IF(Table15[[#This Row],[Species in production]] = "", "", SUMIFS(Table126[ASC certified net production volume (tonnes)],Table126[Species in production (Latin name) (select)],Table15[[#This Row],[Species in production]]))</f>
        <v/>
      </c>
      <c r="Q24" s="329" t="str">
        <f>IFERROR((SUMIFS(Table4[Amount of active component (kg)],Table4[Species in production (Latin name) (select)],Table15[[#This Row],[Species in production]],Table4[Type of treatment (select)], "Antibiotic")/Table15[[#This Row],[ASC certified net production volume (tonnes)]]), "")</f>
        <v/>
      </c>
      <c r="S24" s="328" t="str">
        <f>IF('Dropdown tables - Production'!K22=0, "", 'Dropdown tables - Production'!K22)</f>
        <v/>
      </c>
      <c r="T24" s="329" t="str">
        <f>IF('Dropdown tables - Production'!L22=0, "", 'Dropdown tables - Production'!L22)</f>
        <v/>
      </c>
      <c r="U24" s="329" t="str">
        <f>IF('Dropdown tables - Production'!M22=0, "", 'Dropdown tables - Production'!M22)</f>
        <v/>
      </c>
      <c r="V24" s="329" t="str">
        <f>IF(Table8[[#This Row],[Species in production]]="", "", SUMIFS(Table126[ASC certified net production volume (tonnes)],Table126[Species in production (Latin name) (select)],Table8[[#This Row],[Species in production]],Table126[Cycle ID],Table8[[#This Row],[Cycle ID]]))</f>
        <v/>
      </c>
      <c r="W24"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25" spans="3:23" x14ac:dyDescent="0.4">
      <c r="C25" s="31"/>
      <c r="D25" s="235"/>
      <c r="E25" s="152"/>
      <c r="F25" s="152"/>
      <c r="G25" s="31"/>
      <c r="H25" s="31"/>
      <c r="I25" s="31"/>
      <c r="J25" s="31"/>
      <c r="K25" s="31"/>
      <c r="L25" s="30"/>
      <c r="M25" s="235"/>
      <c r="N25" s="40"/>
      <c r="O25" s="328" t="str">
        <f>IF('Dropdown tables - Production'!G23 = 0, "", 'Dropdown tables - Production'!G23)</f>
        <v/>
      </c>
      <c r="P25" s="329" t="str">
        <f>IF(Table15[[#This Row],[Species in production]] = "", "", SUMIFS(Table126[ASC certified net production volume (tonnes)],Table126[Species in production (Latin name) (select)],Table15[[#This Row],[Species in production]]))</f>
        <v/>
      </c>
      <c r="Q25" s="329" t="str">
        <f>IFERROR((SUMIFS(Table4[Amount of active component (kg)],Table4[Species in production (Latin name) (select)],Table15[[#This Row],[Species in production]],Table4[Type of treatment (select)], "Antibiotic")/Table15[[#This Row],[ASC certified net production volume (tonnes)]]), "")</f>
        <v/>
      </c>
      <c r="S25" s="328" t="str">
        <f>IF('Dropdown tables - Production'!K23=0, "", 'Dropdown tables - Production'!K23)</f>
        <v/>
      </c>
      <c r="T25" s="329" t="str">
        <f>IF('Dropdown tables - Production'!L23=0, "", 'Dropdown tables - Production'!L23)</f>
        <v/>
      </c>
      <c r="U25" s="329" t="str">
        <f>IF('Dropdown tables - Production'!M23=0, "", 'Dropdown tables - Production'!M23)</f>
        <v/>
      </c>
      <c r="V25" s="329" t="str">
        <f>IF(Table8[[#This Row],[Species in production]]="", "", SUMIFS(Table126[ASC certified net production volume (tonnes)],Table126[Species in production (Latin name) (select)],Table8[[#This Row],[Species in production]],Table126[Cycle ID],Table8[[#This Row],[Cycle ID]]))</f>
        <v/>
      </c>
      <c r="W25"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26" spans="3:23" x14ac:dyDescent="0.4">
      <c r="C26" s="31"/>
      <c r="D26" s="235"/>
      <c r="E26" s="152"/>
      <c r="F26" s="152"/>
      <c r="G26" s="31"/>
      <c r="H26" s="31"/>
      <c r="I26" s="31"/>
      <c r="J26" s="31"/>
      <c r="K26" s="31"/>
      <c r="L26" s="30"/>
      <c r="M26" s="235"/>
      <c r="N26" s="40"/>
      <c r="O26" s="328" t="str">
        <f>IF('Dropdown tables - Production'!G24 = 0, "", 'Dropdown tables - Production'!G24)</f>
        <v/>
      </c>
      <c r="P26" s="329" t="str">
        <f>IF(Table15[[#This Row],[Species in production]] = "", "", SUMIFS(Table126[ASC certified net production volume (tonnes)],Table126[Species in production (Latin name) (select)],Table15[[#This Row],[Species in production]]))</f>
        <v/>
      </c>
      <c r="Q26" s="329" t="str">
        <f>IFERROR((SUMIFS(Table4[Amount of active component (kg)],Table4[Species in production (Latin name) (select)],Table15[[#This Row],[Species in production]],Table4[Type of treatment (select)], "Antibiotic")/Table15[[#This Row],[ASC certified net production volume (tonnes)]]), "")</f>
        <v/>
      </c>
      <c r="S26" s="328" t="str">
        <f>IF('Dropdown tables - Production'!K24=0, "", 'Dropdown tables - Production'!K24)</f>
        <v/>
      </c>
      <c r="T26" s="329" t="str">
        <f>IF('Dropdown tables - Production'!L24=0, "", 'Dropdown tables - Production'!L24)</f>
        <v/>
      </c>
      <c r="U26" s="329" t="str">
        <f>IF('Dropdown tables - Production'!M24=0, "", 'Dropdown tables - Production'!M24)</f>
        <v/>
      </c>
      <c r="V26" s="329" t="str">
        <f>IF(Table8[[#This Row],[Species in production]]="", "", SUMIFS(Table126[ASC certified net production volume (tonnes)],Table126[Species in production (Latin name) (select)],Table8[[#This Row],[Species in production]],Table126[Cycle ID],Table8[[#This Row],[Cycle ID]]))</f>
        <v/>
      </c>
      <c r="W26"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27" spans="3:23" x14ac:dyDescent="0.4">
      <c r="C27" s="31"/>
      <c r="D27" s="235"/>
      <c r="E27" s="152"/>
      <c r="F27" s="152"/>
      <c r="G27" s="31"/>
      <c r="H27" s="31"/>
      <c r="I27" s="31"/>
      <c r="J27" s="31"/>
      <c r="K27" s="31"/>
      <c r="L27" s="30"/>
      <c r="M27" s="235"/>
      <c r="N27" s="40"/>
      <c r="O27" s="328" t="str">
        <f>IF('Dropdown tables - Production'!G25 = 0, "", 'Dropdown tables - Production'!G25)</f>
        <v/>
      </c>
      <c r="P27" s="329" t="str">
        <f>IF(Table15[[#This Row],[Species in production]] = "", "", SUMIFS(Table126[ASC certified net production volume (tonnes)],Table126[Species in production (Latin name) (select)],Table15[[#This Row],[Species in production]]))</f>
        <v/>
      </c>
      <c r="Q27" s="329" t="str">
        <f>IFERROR((SUMIFS(Table4[Amount of active component (kg)],Table4[Species in production (Latin name) (select)],Table15[[#This Row],[Species in production]],Table4[Type of treatment (select)], "Antibiotic")/Table15[[#This Row],[ASC certified net production volume (tonnes)]]), "")</f>
        <v/>
      </c>
      <c r="S27" s="328" t="str">
        <f>IF('Dropdown tables - Production'!K25=0, "", 'Dropdown tables - Production'!K25)</f>
        <v/>
      </c>
      <c r="T27" s="329" t="str">
        <f>IF('Dropdown tables - Production'!L25=0, "", 'Dropdown tables - Production'!L25)</f>
        <v/>
      </c>
      <c r="U27" s="329" t="str">
        <f>IF('Dropdown tables - Production'!M25=0, "", 'Dropdown tables - Production'!M25)</f>
        <v/>
      </c>
      <c r="V27" s="329" t="str">
        <f>IF(Table8[[#This Row],[Species in production]]="", "", SUMIFS(Table126[ASC certified net production volume (tonnes)],Table126[Species in production (Latin name) (select)],Table8[[#This Row],[Species in production]],Table126[Cycle ID],Table8[[#This Row],[Cycle ID]]))</f>
        <v/>
      </c>
      <c r="W27"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28" spans="3:23" x14ac:dyDescent="0.4">
      <c r="C28" s="31"/>
      <c r="D28" s="235"/>
      <c r="E28" s="152"/>
      <c r="F28" s="152"/>
      <c r="G28" s="31"/>
      <c r="H28" s="31"/>
      <c r="I28" s="31"/>
      <c r="J28" s="31"/>
      <c r="K28" s="31"/>
      <c r="L28" s="30"/>
      <c r="M28" s="235"/>
      <c r="N28" s="40"/>
      <c r="S28" s="328" t="str">
        <f>IF('Dropdown tables - Production'!K26=0, "", 'Dropdown tables - Production'!K26)</f>
        <v/>
      </c>
      <c r="T28" s="329" t="str">
        <f>IF('Dropdown tables - Production'!L26=0, "", 'Dropdown tables - Production'!L26)</f>
        <v/>
      </c>
      <c r="U28" s="329" t="str">
        <f>IF('Dropdown tables - Production'!M26=0, "", 'Dropdown tables - Production'!M26)</f>
        <v/>
      </c>
      <c r="V28" s="329" t="str">
        <f>IF(Table8[[#This Row],[Species in production]]="", "", SUMIFS(Table126[ASC certified net production volume (tonnes)],Table126[Species in production (Latin name) (select)],Table8[[#This Row],[Species in production]],Table126[Cycle ID],Table8[[#This Row],[Cycle ID]]))</f>
        <v/>
      </c>
      <c r="W28"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29" spans="3:23" x14ac:dyDescent="0.4">
      <c r="C29" s="31"/>
      <c r="D29" s="235"/>
      <c r="E29" s="152"/>
      <c r="F29" s="152"/>
      <c r="G29" s="31"/>
      <c r="H29" s="31"/>
      <c r="I29" s="31"/>
      <c r="J29" s="31"/>
      <c r="K29" s="31"/>
      <c r="L29" s="30"/>
      <c r="M29" s="235"/>
      <c r="N29" s="40"/>
      <c r="S29" s="328" t="str">
        <f>IF('Dropdown tables - Production'!K27=0, "", 'Dropdown tables - Production'!K27)</f>
        <v/>
      </c>
      <c r="T29" s="329" t="str">
        <f>IF('Dropdown tables - Production'!L27=0, "", 'Dropdown tables - Production'!L27)</f>
        <v/>
      </c>
      <c r="U29" s="329" t="str">
        <f>IF('Dropdown tables - Production'!M27=0, "", 'Dropdown tables - Production'!M27)</f>
        <v/>
      </c>
      <c r="V29" s="329" t="str">
        <f>IF(Table8[[#This Row],[Species in production]]="", "", SUMIFS(Table126[ASC certified net production volume (tonnes)],Table126[Species in production (Latin name) (select)],Table8[[#This Row],[Species in production]],Table126[Cycle ID],Table8[[#This Row],[Cycle ID]]))</f>
        <v/>
      </c>
      <c r="W29"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30" spans="3:23" x14ac:dyDescent="0.4">
      <c r="C30" s="31"/>
      <c r="D30" s="235"/>
      <c r="E30" s="152"/>
      <c r="F30" s="152"/>
      <c r="G30" s="31"/>
      <c r="H30" s="31"/>
      <c r="I30" s="31"/>
      <c r="J30" s="31"/>
      <c r="K30" s="31"/>
      <c r="L30" s="30"/>
      <c r="M30" s="235"/>
      <c r="N30" s="40"/>
      <c r="S30" s="328" t="str">
        <f>IF('Dropdown tables - Production'!K28=0, "", 'Dropdown tables - Production'!K28)</f>
        <v/>
      </c>
      <c r="T30" s="329" t="str">
        <f>IF('Dropdown tables - Production'!L28=0, "", 'Dropdown tables - Production'!L28)</f>
        <v/>
      </c>
      <c r="U30" s="329" t="str">
        <f>IF('Dropdown tables - Production'!M28=0, "", 'Dropdown tables - Production'!M28)</f>
        <v/>
      </c>
      <c r="V30" s="329" t="str">
        <f>IF(Table8[[#This Row],[Species in production]]="", "", SUMIFS(Table126[ASC certified net production volume (tonnes)],Table126[Species in production (Latin name) (select)],Table8[[#This Row],[Species in production]],Table126[Cycle ID],Table8[[#This Row],[Cycle ID]]))</f>
        <v/>
      </c>
      <c r="W30"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31" spans="3:23" x14ac:dyDescent="0.4">
      <c r="C31" s="31"/>
      <c r="D31" s="235"/>
      <c r="E31" s="152"/>
      <c r="F31" s="152"/>
      <c r="G31" s="31"/>
      <c r="H31" s="31"/>
      <c r="I31" s="31"/>
      <c r="J31" s="31"/>
      <c r="K31" s="31"/>
      <c r="L31" s="30"/>
      <c r="M31" s="235"/>
      <c r="N31" s="40"/>
      <c r="S31" s="328" t="str">
        <f>IF('Dropdown tables - Production'!K29=0, "", 'Dropdown tables - Production'!K29)</f>
        <v/>
      </c>
      <c r="T31" s="329" t="str">
        <f>IF('Dropdown tables - Production'!L29=0, "", 'Dropdown tables - Production'!L29)</f>
        <v/>
      </c>
      <c r="U31" s="329" t="str">
        <f>IF('Dropdown tables - Production'!M29=0, "", 'Dropdown tables - Production'!M29)</f>
        <v/>
      </c>
      <c r="V31" s="329" t="str">
        <f>IF(Table8[[#This Row],[Species in production]]="", "", SUMIFS(Table126[ASC certified net production volume (tonnes)],Table126[Species in production (Latin name) (select)],Table8[[#This Row],[Species in production]],Table126[Cycle ID],Table8[[#This Row],[Cycle ID]]))</f>
        <v/>
      </c>
      <c r="W31"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32" spans="3:23" x14ac:dyDescent="0.4">
      <c r="C32" s="31"/>
      <c r="D32" s="235"/>
      <c r="E32" s="152"/>
      <c r="F32" s="152"/>
      <c r="G32" s="31"/>
      <c r="H32" s="31"/>
      <c r="I32" s="31"/>
      <c r="J32" s="31"/>
      <c r="K32" s="31"/>
      <c r="L32" s="30"/>
      <c r="M32" s="235"/>
      <c r="N32" s="40"/>
      <c r="S32" s="328" t="str">
        <f>IF('Dropdown tables - Production'!K30=0, "", 'Dropdown tables - Production'!K30)</f>
        <v/>
      </c>
      <c r="T32" s="329" t="str">
        <f>IF('Dropdown tables - Production'!L30=0, "", 'Dropdown tables - Production'!L30)</f>
        <v/>
      </c>
      <c r="U32" s="329" t="str">
        <f>IF('Dropdown tables - Production'!M30=0, "", 'Dropdown tables - Production'!M30)</f>
        <v/>
      </c>
      <c r="V32" s="329" t="str">
        <f>IF(Table8[[#This Row],[Species in production]]="", "", SUMIFS(Table126[ASC certified net production volume (tonnes)],Table126[Species in production (Latin name) (select)],Table8[[#This Row],[Species in production]],Table126[Cycle ID],Table8[[#This Row],[Cycle ID]]))</f>
        <v/>
      </c>
      <c r="W32"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33" spans="3:23" x14ac:dyDescent="0.4">
      <c r="C33" s="31"/>
      <c r="D33" s="235"/>
      <c r="E33" s="152"/>
      <c r="F33" s="152"/>
      <c r="G33" s="31"/>
      <c r="H33" s="31"/>
      <c r="I33" s="31"/>
      <c r="J33" s="31"/>
      <c r="K33" s="31"/>
      <c r="L33" s="30"/>
      <c r="M33" s="235"/>
      <c r="N33" s="40"/>
      <c r="S33" s="328" t="str">
        <f>IF('Dropdown tables - Production'!K31=0, "", 'Dropdown tables - Production'!K31)</f>
        <v/>
      </c>
      <c r="T33" s="329" t="str">
        <f>IF('Dropdown tables - Production'!L31=0, "", 'Dropdown tables - Production'!L31)</f>
        <v/>
      </c>
      <c r="U33" s="329" t="str">
        <f>IF('Dropdown tables - Production'!M31=0, "", 'Dropdown tables - Production'!M31)</f>
        <v/>
      </c>
      <c r="V33" s="329" t="str">
        <f>IF(Table8[[#This Row],[Species in production]]="", "", SUMIFS(Table126[ASC certified net production volume (tonnes)],Table126[Species in production (Latin name) (select)],Table8[[#This Row],[Species in production]],Table126[Cycle ID],Table8[[#This Row],[Cycle ID]]))</f>
        <v/>
      </c>
      <c r="W33"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34" spans="3:23" x14ac:dyDescent="0.4">
      <c r="C34" s="31"/>
      <c r="D34" s="235"/>
      <c r="E34" s="152"/>
      <c r="F34" s="152"/>
      <c r="G34" s="31"/>
      <c r="H34" s="31"/>
      <c r="I34" s="31"/>
      <c r="J34" s="31"/>
      <c r="K34" s="31"/>
      <c r="L34" s="30"/>
      <c r="M34" s="235"/>
      <c r="N34" s="40"/>
      <c r="S34" s="328" t="str">
        <f>IF('Dropdown tables - Production'!K32=0, "", 'Dropdown tables - Production'!K32)</f>
        <v/>
      </c>
      <c r="T34" s="329" t="str">
        <f>IF('Dropdown tables - Production'!L32=0, "", 'Dropdown tables - Production'!L32)</f>
        <v/>
      </c>
      <c r="U34" s="329" t="str">
        <f>IF('Dropdown tables - Production'!M32=0, "", 'Dropdown tables - Production'!M32)</f>
        <v/>
      </c>
      <c r="V34" s="329" t="str">
        <f>IF(Table8[[#This Row],[Species in production]]="", "", SUMIFS(Table126[ASC certified net production volume (tonnes)],Table126[Species in production (Latin name) (select)],Table8[[#This Row],[Species in production]],Table126[Cycle ID],Table8[[#This Row],[Cycle ID]]))</f>
        <v/>
      </c>
      <c r="W34"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35" spans="3:23" x14ac:dyDescent="0.4">
      <c r="C35" s="31"/>
      <c r="D35" s="235"/>
      <c r="E35" s="152"/>
      <c r="F35" s="152"/>
      <c r="G35" s="31"/>
      <c r="H35" s="31"/>
      <c r="I35" s="31"/>
      <c r="J35" s="31"/>
      <c r="K35" s="31"/>
      <c r="L35" s="30"/>
      <c r="M35" s="235"/>
      <c r="N35" s="40"/>
      <c r="S35" s="328" t="str">
        <f>IF('Dropdown tables - Production'!K33=0, "", 'Dropdown tables - Production'!K33)</f>
        <v/>
      </c>
      <c r="T35" s="329" t="str">
        <f>IF('Dropdown tables - Production'!L33=0, "", 'Dropdown tables - Production'!L33)</f>
        <v/>
      </c>
      <c r="U35" s="329" t="str">
        <f>IF('Dropdown tables - Production'!M33=0, "", 'Dropdown tables - Production'!M33)</f>
        <v/>
      </c>
      <c r="V35" s="329" t="str">
        <f>IF(Table8[[#This Row],[Species in production]]="", "", SUMIFS(Table126[ASC certified net production volume (tonnes)],Table126[Species in production (Latin name) (select)],Table8[[#This Row],[Species in production]],Table126[Cycle ID],Table8[[#This Row],[Cycle ID]]))</f>
        <v/>
      </c>
      <c r="W35"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36" spans="3:23" x14ac:dyDescent="0.4">
      <c r="C36" s="31"/>
      <c r="D36" s="235"/>
      <c r="E36" s="152"/>
      <c r="F36" s="152"/>
      <c r="G36" s="31"/>
      <c r="H36" s="31"/>
      <c r="I36" s="31"/>
      <c r="J36" s="31"/>
      <c r="K36" s="31"/>
      <c r="L36" s="30"/>
      <c r="M36" s="235"/>
      <c r="N36" s="40"/>
      <c r="S36" s="328" t="str">
        <f>IF('Dropdown tables - Production'!K34=0, "", 'Dropdown tables - Production'!K34)</f>
        <v/>
      </c>
      <c r="T36" s="329" t="str">
        <f>IF('Dropdown tables - Production'!L34=0, "", 'Dropdown tables - Production'!L34)</f>
        <v/>
      </c>
      <c r="U36" s="329" t="str">
        <f>IF('Dropdown tables - Production'!M34=0, "", 'Dropdown tables - Production'!M34)</f>
        <v/>
      </c>
      <c r="V36" s="329" t="str">
        <f>IF(Table8[[#This Row],[Species in production]]="", "", SUMIFS(Table126[ASC certified net production volume (tonnes)],Table126[Species in production (Latin name) (select)],Table8[[#This Row],[Species in production]],Table126[Cycle ID],Table8[[#This Row],[Cycle ID]]))</f>
        <v/>
      </c>
      <c r="W36"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37" spans="3:23" x14ac:dyDescent="0.4">
      <c r="C37" s="31"/>
      <c r="D37" s="235"/>
      <c r="E37" s="152"/>
      <c r="F37" s="152"/>
      <c r="G37" s="31"/>
      <c r="H37" s="31"/>
      <c r="I37" s="31"/>
      <c r="J37" s="31"/>
      <c r="K37" s="31"/>
      <c r="L37" s="30"/>
      <c r="M37" s="235"/>
      <c r="N37" s="40"/>
      <c r="S37" s="328" t="str">
        <f>IF('Dropdown tables - Production'!K35=0, "", 'Dropdown tables - Production'!K35)</f>
        <v/>
      </c>
      <c r="T37" s="329" t="str">
        <f>IF('Dropdown tables - Production'!L35=0, "", 'Dropdown tables - Production'!L35)</f>
        <v/>
      </c>
      <c r="U37" s="329" t="str">
        <f>IF('Dropdown tables - Production'!M35=0, "", 'Dropdown tables - Production'!M35)</f>
        <v/>
      </c>
      <c r="V37" s="329" t="str">
        <f>IF(Table8[[#This Row],[Species in production]]="", "", SUMIFS(Table126[ASC certified net production volume (tonnes)],Table126[Species in production (Latin name) (select)],Table8[[#This Row],[Species in production]],Table126[Cycle ID],Table8[[#This Row],[Cycle ID]]))</f>
        <v/>
      </c>
      <c r="W37"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38" spans="3:23" x14ac:dyDescent="0.4">
      <c r="C38" s="31"/>
      <c r="D38" s="235"/>
      <c r="E38" s="152"/>
      <c r="F38" s="152"/>
      <c r="G38" s="31"/>
      <c r="H38" s="31"/>
      <c r="I38" s="31"/>
      <c r="J38" s="31"/>
      <c r="K38" s="31"/>
      <c r="L38" s="30"/>
      <c r="M38" s="235"/>
      <c r="N38" s="40"/>
      <c r="S38" s="328" t="str">
        <f>IF('Dropdown tables - Production'!K36=0, "", 'Dropdown tables - Production'!K36)</f>
        <v/>
      </c>
      <c r="T38" s="329" t="str">
        <f>IF('Dropdown tables - Production'!L36=0, "", 'Dropdown tables - Production'!L36)</f>
        <v/>
      </c>
      <c r="U38" s="329" t="str">
        <f>IF('Dropdown tables - Production'!M36=0, "", 'Dropdown tables - Production'!M36)</f>
        <v/>
      </c>
      <c r="V38" s="329" t="str">
        <f>IF(Table8[[#This Row],[Species in production]]="", "", SUMIFS(Table126[ASC certified net production volume (tonnes)],Table126[Species in production (Latin name) (select)],Table8[[#This Row],[Species in production]],Table126[Cycle ID],Table8[[#This Row],[Cycle ID]]))</f>
        <v/>
      </c>
      <c r="W38"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39" spans="3:23" x14ac:dyDescent="0.4">
      <c r="C39" s="31"/>
      <c r="D39" s="235"/>
      <c r="E39" s="152"/>
      <c r="F39" s="152"/>
      <c r="G39" s="31"/>
      <c r="H39" s="31"/>
      <c r="I39" s="31"/>
      <c r="J39" s="31"/>
      <c r="K39" s="31"/>
      <c r="L39" s="30"/>
      <c r="M39" s="235"/>
      <c r="N39" s="40"/>
      <c r="S39" s="328" t="str">
        <f>IF('Dropdown tables - Production'!K37=0, "", 'Dropdown tables - Production'!K37)</f>
        <v/>
      </c>
      <c r="T39" s="329" t="str">
        <f>IF('Dropdown tables - Production'!L37=0, "", 'Dropdown tables - Production'!L37)</f>
        <v/>
      </c>
      <c r="U39" s="329" t="str">
        <f>IF('Dropdown tables - Production'!M37=0, "", 'Dropdown tables - Production'!M37)</f>
        <v/>
      </c>
      <c r="V39" s="329" t="str">
        <f>IF(Table8[[#This Row],[Species in production]]="", "", SUMIFS(Table126[ASC certified net production volume (tonnes)],Table126[Species in production (Latin name) (select)],Table8[[#This Row],[Species in production]],Table126[Cycle ID],Table8[[#This Row],[Cycle ID]]))</f>
        <v/>
      </c>
      <c r="W39"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40" spans="3:23" x14ac:dyDescent="0.4">
      <c r="C40" s="31"/>
      <c r="D40" s="235"/>
      <c r="E40" s="152"/>
      <c r="F40" s="152"/>
      <c r="G40" s="31"/>
      <c r="H40" s="31"/>
      <c r="I40" s="31"/>
      <c r="J40" s="31"/>
      <c r="K40" s="31"/>
      <c r="L40" s="30"/>
      <c r="M40" s="235"/>
      <c r="N40" s="40"/>
      <c r="S40" s="328" t="str">
        <f>IF('Dropdown tables - Production'!K38=0, "", 'Dropdown tables - Production'!K38)</f>
        <v/>
      </c>
      <c r="T40" s="329" t="str">
        <f>IF('Dropdown tables - Production'!L38=0, "", 'Dropdown tables - Production'!L38)</f>
        <v/>
      </c>
      <c r="U40" s="329" t="str">
        <f>IF('Dropdown tables - Production'!M38=0, "", 'Dropdown tables - Production'!M38)</f>
        <v/>
      </c>
      <c r="V40" s="329" t="str">
        <f>IF(Table8[[#This Row],[Species in production]]="", "", SUMIFS(Table126[ASC certified net production volume (tonnes)],Table126[Species in production (Latin name) (select)],Table8[[#This Row],[Species in production]],Table126[Cycle ID],Table8[[#This Row],[Cycle ID]]))</f>
        <v/>
      </c>
      <c r="W40"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41" spans="3:23" x14ac:dyDescent="0.4">
      <c r="C41" s="31"/>
      <c r="D41" s="235"/>
      <c r="E41" s="152"/>
      <c r="F41" s="152"/>
      <c r="G41" s="31"/>
      <c r="H41" s="31"/>
      <c r="I41" s="31"/>
      <c r="J41" s="31"/>
      <c r="K41" s="31"/>
      <c r="L41" s="30"/>
      <c r="M41" s="235"/>
      <c r="N41" s="40"/>
      <c r="S41" s="328" t="str">
        <f>IF('Dropdown tables - Production'!K39=0, "", 'Dropdown tables - Production'!K39)</f>
        <v/>
      </c>
      <c r="T41" s="329" t="str">
        <f>IF('Dropdown tables - Production'!L39=0, "", 'Dropdown tables - Production'!L39)</f>
        <v/>
      </c>
      <c r="U41" s="329" t="str">
        <f>IF('Dropdown tables - Production'!M39=0, "", 'Dropdown tables - Production'!M39)</f>
        <v/>
      </c>
      <c r="V41" s="329" t="str">
        <f>IF(Table8[[#This Row],[Species in production]]="", "", SUMIFS(Table126[ASC certified net production volume (tonnes)],Table126[Species in production (Latin name) (select)],Table8[[#This Row],[Species in production]],Table126[Cycle ID],Table8[[#This Row],[Cycle ID]]))</f>
        <v/>
      </c>
      <c r="W41"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42" spans="3:23" x14ac:dyDescent="0.4">
      <c r="C42" s="31"/>
      <c r="D42" s="235"/>
      <c r="E42" s="152"/>
      <c r="F42" s="152"/>
      <c r="G42" s="31"/>
      <c r="H42" s="31"/>
      <c r="I42" s="31"/>
      <c r="J42" s="31"/>
      <c r="K42" s="31"/>
      <c r="L42" s="30"/>
      <c r="M42" s="235"/>
      <c r="N42" s="40"/>
      <c r="S42" s="328" t="str">
        <f>IF('Dropdown tables - Production'!K40=0, "", 'Dropdown tables - Production'!K40)</f>
        <v/>
      </c>
      <c r="T42" s="329" t="str">
        <f>IF('Dropdown tables - Production'!L40=0, "", 'Dropdown tables - Production'!L40)</f>
        <v/>
      </c>
      <c r="U42" s="329" t="str">
        <f>IF('Dropdown tables - Production'!M40=0, "", 'Dropdown tables - Production'!M40)</f>
        <v/>
      </c>
      <c r="V42" s="329" t="str">
        <f>IF(Table8[[#This Row],[Species in production]]="", "", SUMIFS(Table126[ASC certified net production volume (tonnes)],Table126[Species in production (Latin name) (select)],Table8[[#This Row],[Species in production]],Table126[Cycle ID],Table8[[#This Row],[Cycle ID]]))</f>
        <v/>
      </c>
      <c r="W42"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43" spans="3:23" x14ac:dyDescent="0.4">
      <c r="C43" s="31"/>
      <c r="D43" s="235"/>
      <c r="E43" s="152"/>
      <c r="F43" s="152"/>
      <c r="G43" s="31"/>
      <c r="H43" s="31"/>
      <c r="I43" s="31"/>
      <c r="J43" s="31"/>
      <c r="K43" s="31"/>
      <c r="L43" s="30"/>
      <c r="M43" s="235"/>
      <c r="N43" s="40"/>
      <c r="S43" s="328" t="str">
        <f>IF('Dropdown tables - Production'!K41=0, "", 'Dropdown tables - Production'!K41)</f>
        <v/>
      </c>
      <c r="T43" s="329" t="str">
        <f>IF('Dropdown tables - Production'!L41=0, "", 'Dropdown tables - Production'!L41)</f>
        <v/>
      </c>
      <c r="U43" s="329" t="str">
        <f>IF('Dropdown tables - Production'!M41=0, "", 'Dropdown tables - Production'!M41)</f>
        <v/>
      </c>
      <c r="V43" s="329" t="str">
        <f>IF(Table8[[#This Row],[Species in production]]="", "", SUMIFS(Table126[ASC certified net production volume (tonnes)],Table126[Species in production (Latin name) (select)],Table8[[#This Row],[Species in production]],Table126[Cycle ID],Table8[[#This Row],[Cycle ID]]))</f>
        <v/>
      </c>
      <c r="W43"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44" spans="3:23" x14ac:dyDescent="0.4">
      <c r="C44" s="31"/>
      <c r="D44" s="235"/>
      <c r="E44" s="152"/>
      <c r="F44" s="152"/>
      <c r="G44" s="31"/>
      <c r="H44" s="31"/>
      <c r="I44" s="31"/>
      <c r="J44" s="31"/>
      <c r="K44" s="31"/>
      <c r="L44" s="30"/>
      <c r="M44" s="235"/>
      <c r="N44" s="40"/>
      <c r="S44" s="328" t="str">
        <f>IF('Dropdown tables - Production'!K42=0, "", 'Dropdown tables - Production'!K42)</f>
        <v/>
      </c>
      <c r="T44" s="329" t="str">
        <f>IF('Dropdown tables - Production'!L42=0, "", 'Dropdown tables - Production'!L42)</f>
        <v/>
      </c>
      <c r="U44" s="329" t="str">
        <f>IF('Dropdown tables - Production'!M42=0, "", 'Dropdown tables - Production'!M42)</f>
        <v/>
      </c>
      <c r="V44" s="329" t="str">
        <f>IF(Table8[[#This Row],[Species in production]]="", "", SUMIFS(Table126[ASC certified net production volume (tonnes)],Table126[Species in production (Latin name) (select)],Table8[[#This Row],[Species in production]],Table126[Cycle ID],Table8[[#This Row],[Cycle ID]]))</f>
        <v/>
      </c>
      <c r="W44"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45" spans="3:23" x14ac:dyDescent="0.4">
      <c r="C45" s="31"/>
      <c r="D45" s="235"/>
      <c r="E45" s="152"/>
      <c r="F45" s="152"/>
      <c r="G45" s="31"/>
      <c r="H45" s="31"/>
      <c r="I45" s="31"/>
      <c r="J45" s="31"/>
      <c r="K45" s="31"/>
      <c r="L45" s="30"/>
      <c r="M45" s="235"/>
      <c r="N45" s="40"/>
      <c r="S45" s="328" t="str">
        <f>IF('Dropdown tables - Production'!K43=0, "", 'Dropdown tables - Production'!K43)</f>
        <v/>
      </c>
      <c r="T45" s="329" t="str">
        <f>IF('Dropdown tables - Production'!L43=0, "", 'Dropdown tables - Production'!L43)</f>
        <v/>
      </c>
      <c r="U45" s="329" t="str">
        <f>IF('Dropdown tables - Production'!M43=0, "", 'Dropdown tables - Production'!M43)</f>
        <v/>
      </c>
      <c r="V45" s="329" t="str">
        <f>IF(Table8[[#This Row],[Species in production]]="", "", SUMIFS(Table126[ASC certified net production volume (tonnes)],Table126[Species in production (Latin name) (select)],Table8[[#This Row],[Species in production]],Table126[Cycle ID],Table8[[#This Row],[Cycle ID]]))</f>
        <v/>
      </c>
      <c r="W45"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46" spans="3:23" x14ac:dyDescent="0.4">
      <c r="C46" s="31"/>
      <c r="D46" s="235"/>
      <c r="E46" s="152"/>
      <c r="F46" s="152"/>
      <c r="G46" s="31"/>
      <c r="H46" s="31"/>
      <c r="I46" s="31"/>
      <c r="J46" s="31"/>
      <c r="K46" s="31"/>
      <c r="L46" s="30"/>
      <c r="M46" s="235"/>
      <c r="N46" s="40"/>
      <c r="S46" s="328" t="str">
        <f>IF('Dropdown tables - Production'!K44=0, "", 'Dropdown tables - Production'!K44)</f>
        <v/>
      </c>
      <c r="T46" s="329" t="str">
        <f>IF('Dropdown tables - Production'!L44=0, "", 'Dropdown tables - Production'!L44)</f>
        <v/>
      </c>
      <c r="U46" s="329" t="str">
        <f>IF('Dropdown tables - Production'!M44=0, "", 'Dropdown tables - Production'!M44)</f>
        <v/>
      </c>
      <c r="V46" s="329" t="str">
        <f>IF(Table8[[#This Row],[Species in production]]="", "", SUMIFS(Table126[ASC certified net production volume (tonnes)],Table126[Species in production (Latin name) (select)],Table8[[#This Row],[Species in production]],Table126[Cycle ID],Table8[[#This Row],[Cycle ID]]))</f>
        <v/>
      </c>
      <c r="W46"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47" spans="3:23" x14ac:dyDescent="0.4">
      <c r="C47" s="31"/>
      <c r="D47" s="235"/>
      <c r="E47" s="152"/>
      <c r="F47" s="152"/>
      <c r="G47" s="31"/>
      <c r="H47" s="31"/>
      <c r="I47" s="31"/>
      <c r="J47" s="31"/>
      <c r="K47" s="31"/>
      <c r="L47" s="30"/>
      <c r="M47" s="235"/>
      <c r="N47" s="40"/>
      <c r="S47" s="328" t="str">
        <f>IF('Dropdown tables - Production'!K45=0, "", 'Dropdown tables - Production'!K45)</f>
        <v/>
      </c>
      <c r="T47" s="329" t="str">
        <f>IF('Dropdown tables - Production'!L45=0, "", 'Dropdown tables - Production'!L45)</f>
        <v/>
      </c>
      <c r="U47" s="329" t="str">
        <f>IF('Dropdown tables - Production'!M45=0, "", 'Dropdown tables - Production'!M45)</f>
        <v/>
      </c>
      <c r="V47" s="329" t="str">
        <f>IF(Table8[[#This Row],[Species in production]]="", "", SUMIFS(Table126[ASC certified net production volume (tonnes)],Table126[Species in production (Latin name) (select)],Table8[[#This Row],[Species in production]],Table126[Cycle ID],Table8[[#This Row],[Cycle ID]]))</f>
        <v/>
      </c>
      <c r="W47"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48" spans="3:23" x14ac:dyDescent="0.4">
      <c r="C48" s="31"/>
      <c r="D48" s="235"/>
      <c r="E48" s="152"/>
      <c r="F48" s="152"/>
      <c r="G48" s="31"/>
      <c r="H48" s="31"/>
      <c r="I48" s="31"/>
      <c r="J48" s="31"/>
      <c r="K48" s="31"/>
      <c r="L48" s="30"/>
      <c r="M48" s="235"/>
      <c r="N48" s="40"/>
      <c r="S48" s="328" t="str">
        <f>IF('Dropdown tables - Production'!K46=0, "", 'Dropdown tables - Production'!K46)</f>
        <v/>
      </c>
      <c r="T48" s="329" t="str">
        <f>IF('Dropdown tables - Production'!L46=0, "", 'Dropdown tables - Production'!L46)</f>
        <v/>
      </c>
      <c r="U48" s="329" t="str">
        <f>IF('Dropdown tables - Production'!M46=0, "", 'Dropdown tables - Production'!M46)</f>
        <v/>
      </c>
      <c r="V48" s="329" t="str">
        <f>IF(Table8[[#This Row],[Species in production]]="", "", SUMIFS(Table126[ASC certified net production volume (tonnes)],Table126[Species in production (Latin name) (select)],Table8[[#This Row],[Species in production]],Table126[Cycle ID],Table8[[#This Row],[Cycle ID]]))</f>
        <v/>
      </c>
      <c r="W48"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49" spans="3:23" x14ac:dyDescent="0.4">
      <c r="C49" s="31"/>
      <c r="D49" s="235"/>
      <c r="E49" s="152"/>
      <c r="F49" s="152"/>
      <c r="G49" s="31"/>
      <c r="H49" s="31"/>
      <c r="I49" s="31"/>
      <c r="J49" s="31"/>
      <c r="K49" s="31"/>
      <c r="L49" s="30"/>
      <c r="M49" s="235"/>
      <c r="N49" s="40"/>
      <c r="S49" s="328" t="str">
        <f>IF('Dropdown tables - Production'!K47=0, "", 'Dropdown tables - Production'!K47)</f>
        <v/>
      </c>
      <c r="T49" s="329" t="str">
        <f>IF('Dropdown tables - Production'!L47=0, "", 'Dropdown tables - Production'!L47)</f>
        <v/>
      </c>
      <c r="U49" s="329" t="str">
        <f>IF('Dropdown tables - Production'!M47=0, "", 'Dropdown tables - Production'!M47)</f>
        <v/>
      </c>
      <c r="V49" s="329" t="str">
        <f>IF(Table8[[#This Row],[Species in production]]="", "", SUMIFS(Table126[ASC certified net production volume (tonnes)],Table126[Species in production (Latin name) (select)],Table8[[#This Row],[Species in production]],Table126[Cycle ID],Table8[[#This Row],[Cycle ID]]))</f>
        <v/>
      </c>
      <c r="W49"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50" spans="3:23" x14ac:dyDescent="0.4">
      <c r="C50" s="31"/>
      <c r="D50" s="235"/>
      <c r="E50" s="152"/>
      <c r="F50" s="152"/>
      <c r="G50" s="31"/>
      <c r="H50" s="31"/>
      <c r="I50" s="31"/>
      <c r="J50" s="31"/>
      <c r="K50" s="31"/>
      <c r="L50" s="30"/>
      <c r="M50" s="235"/>
      <c r="N50" s="40"/>
      <c r="S50" s="328" t="str">
        <f>IF('Dropdown tables - Production'!K48=0, "", 'Dropdown tables - Production'!K48)</f>
        <v/>
      </c>
      <c r="T50" s="329" t="str">
        <f>IF('Dropdown tables - Production'!L48=0, "", 'Dropdown tables - Production'!L48)</f>
        <v/>
      </c>
      <c r="U50" s="329" t="str">
        <f>IF('Dropdown tables - Production'!M48=0, "", 'Dropdown tables - Production'!M48)</f>
        <v/>
      </c>
      <c r="V50" s="329" t="str">
        <f>IF(Table8[[#This Row],[Species in production]]="", "", SUMIFS(Table126[ASC certified net production volume (tonnes)],Table126[Species in production (Latin name) (select)],Table8[[#This Row],[Species in production]],Table126[Cycle ID],Table8[[#This Row],[Cycle ID]]))</f>
        <v/>
      </c>
      <c r="W50"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51" spans="3:23" x14ac:dyDescent="0.4">
      <c r="C51" s="31"/>
      <c r="D51" s="235"/>
      <c r="E51" s="152"/>
      <c r="F51" s="152"/>
      <c r="G51" s="31"/>
      <c r="H51" s="31"/>
      <c r="I51" s="31"/>
      <c r="J51" s="31"/>
      <c r="K51" s="31"/>
      <c r="L51" s="30"/>
      <c r="M51" s="235"/>
      <c r="N51" s="40"/>
      <c r="S51" s="328" t="str">
        <f>IF('Dropdown tables - Production'!K49=0, "", 'Dropdown tables - Production'!K49)</f>
        <v/>
      </c>
      <c r="T51" s="329" t="str">
        <f>IF('Dropdown tables - Production'!L49=0, "", 'Dropdown tables - Production'!L49)</f>
        <v/>
      </c>
      <c r="U51" s="329" t="str">
        <f>IF('Dropdown tables - Production'!M49=0, "", 'Dropdown tables - Production'!M49)</f>
        <v/>
      </c>
      <c r="V51" s="329" t="str">
        <f>IF(Table8[[#This Row],[Species in production]]="", "", SUMIFS(Table126[ASC certified net production volume (tonnes)],Table126[Species in production (Latin name) (select)],Table8[[#This Row],[Species in production]],Table126[Cycle ID],Table8[[#This Row],[Cycle ID]]))</f>
        <v/>
      </c>
      <c r="W51"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52" spans="3:23" x14ac:dyDescent="0.4">
      <c r="C52" s="31"/>
      <c r="D52" s="235"/>
      <c r="E52" s="152"/>
      <c r="F52" s="152"/>
      <c r="G52" s="31"/>
      <c r="H52" s="31"/>
      <c r="I52" s="31"/>
      <c r="J52" s="31"/>
      <c r="K52" s="31"/>
      <c r="L52" s="30"/>
      <c r="M52" s="235"/>
      <c r="N52" s="40"/>
      <c r="S52" s="328" t="str">
        <f>IF('Dropdown tables - Production'!K50=0, "", 'Dropdown tables - Production'!K50)</f>
        <v/>
      </c>
      <c r="T52" s="329" t="str">
        <f>IF('Dropdown tables - Production'!L50=0, "", 'Dropdown tables - Production'!L50)</f>
        <v/>
      </c>
      <c r="U52" s="329" t="str">
        <f>IF('Dropdown tables - Production'!M50=0, "", 'Dropdown tables - Production'!M50)</f>
        <v/>
      </c>
      <c r="V52" s="329" t="str">
        <f>IF(Table8[[#This Row],[Species in production]]="", "", SUMIFS(Table126[ASC certified net production volume (tonnes)],Table126[Species in production (Latin name) (select)],Table8[[#This Row],[Species in production]],Table126[Cycle ID],Table8[[#This Row],[Cycle ID]]))</f>
        <v/>
      </c>
      <c r="W52"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53" spans="3:23" x14ac:dyDescent="0.4">
      <c r="C53" s="31"/>
      <c r="D53" s="235"/>
      <c r="E53" s="152"/>
      <c r="F53" s="152"/>
      <c r="G53" s="31"/>
      <c r="H53" s="31"/>
      <c r="I53" s="31"/>
      <c r="J53" s="31"/>
      <c r="K53" s="31"/>
      <c r="L53" s="30"/>
      <c r="M53" s="235"/>
      <c r="N53" s="40"/>
      <c r="S53" s="328" t="str">
        <f>IF('Dropdown tables - Production'!K51=0, "", 'Dropdown tables - Production'!K51)</f>
        <v/>
      </c>
      <c r="T53" s="329" t="str">
        <f>IF('Dropdown tables - Production'!L51=0, "", 'Dropdown tables - Production'!L51)</f>
        <v/>
      </c>
      <c r="U53" s="329" t="str">
        <f>IF('Dropdown tables - Production'!M51=0, "", 'Dropdown tables - Production'!M51)</f>
        <v/>
      </c>
      <c r="V53" s="329" t="str">
        <f>IF(Table8[[#This Row],[Species in production]]="", "", SUMIFS(Table126[ASC certified net production volume (tonnes)],Table126[Species in production (Latin name) (select)],Table8[[#This Row],[Species in production]],Table126[Cycle ID],Table8[[#This Row],[Cycle ID]]))</f>
        <v/>
      </c>
      <c r="W53"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54" spans="3:23" x14ac:dyDescent="0.4">
      <c r="C54" s="31"/>
      <c r="D54" s="235"/>
      <c r="E54" s="152"/>
      <c r="F54" s="152"/>
      <c r="G54" s="31"/>
      <c r="H54" s="31"/>
      <c r="I54" s="31"/>
      <c r="J54" s="31"/>
      <c r="K54" s="31"/>
      <c r="L54" s="30"/>
      <c r="M54" s="235"/>
      <c r="N54" s="40"/>
      <c r="S54" s="328" t="str">
        <f>IF('Dropdown tables - Production'!K52=0, "", 'Dropdown tables - Production'!K52)</f>
        <v/>
      </c>
      <c r="T54" s="329" t="str">
        <f>IF('Dropdown tables - Production'!L52=0, "", 'Dropdown tables - Production'!L52)</f>
        <v/>
      </c>
      <c r="U54" s="329" t="str">
        <f>IF('Dropdown tables - Production'!M52=0, "", 'Dropdown tables - Production'!M52)</f>
        <v/>
      </c>
      <c r="V54" s="329" t="str">
        <f>IF(Table8[[#This Row],[Species in production]]="", "", SUMIFS(Table126[ASC certified net production volume (tonnes)],Table126[Species in production (Latin name) (select)],Table8[[#This Row],[Species in production]],Table126[Cycle ID],Table8[[#This Row],[Cycle ID]]))</f>
        <v/>
      </c>
      <c r="W54"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55" spans="3:23" x14ac:dyDescent="0.4">
      <c r="C55" s="31"/>
      <c r="D55" s="235"/>
      <c r="E55" s="152"/>
      <c r="F55" s="152"/>
      <c r="G55" s="31"/>
      <c r="H55" s="31"/>
      <c r="I55" s="31"/>
      <c r="J55" s="31"/>
      <c r="K55" s="31"/>
      <c r="L55" s="30"/>
      <c r="M55" s="235"/>
      <c r="N55" s="40"/>
      <c r="S55" s="328" t="str">
        <f>IF('Dropdown tables - Production'!K53=0, "", 'Dropdown tables - Production'!K53)</f>
        <v/>
      </c>
      <c r="T55" s="329" t="str">
        <f>IF('Dropdown tables - Production'!L53=0, "", 'Dropdown tables - Production'!L53)</f>
        <v/>
      </c>
      <c r="U55" s="329" t="str">
        <f>IF('Dropdown tables - Production'!M53=0, "", 'Dropdown tables - Production'!M53)</f>
        <v/>
      </c>
      <c r="V55" s="329" t="str">
        <f>IF(Table8[[#This Row],[Species in production]]="", "", SUMIFS(Table126[ASC certified net production volume (tonnes)],Table126[Species in production (Latin name) (select)],Table8[[#This Row],[Species in production]],Table126[Cycle ID],Table8[[#This Row],[Cycle ID]]))</f>
        <v/>
      </c>
      <c r="W55"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56" spans="3:23" x14ac:dyDescent="0.4">
      <c r="C56" s="31"/>
      <c r="D56" s="235"/>
      <c r="E56" s="152"/>
      <c r="F56" s="152"/>
      <c r="G56" s="31"/>
      <c r="H56" s="31"/>
      <c r="I56" s="31"/>
      <c r="J56" s="31"/>
      <c r="K56" s="31"/>
      <c r="L56" s="30"/>
      <c r="M56" s="235"/>
      <c r="N56" s="40"/>
    </row>
    <row r="57" spans="3:23" x14ac:dyDescent="0.4">
      <c r="C57" s="31"/>
      <c r="D57" s="235"/>
      <c r="E57" s="152"/>
      <c r="F57" s="152"/>
      <c r="G57" s="31"/>
      <c r="H57" s="31"/>
      <c r="I57" s="31"/>
      <c r="J57" s="31"/>
      <c r="K57" s="31"/>
      <c r="L57" s="30"/>
      <c r="M57" s="235"/>
      <c r="N57" s="40"/>
    </row>
    <row r="58" spans="3:23" x14ac:dyDescent="0.4">
      <c r="C58" s="31"/>
      <c r="D58" s="235"/>
      <c r="E58" s="152"/>
      <c r="F58" s="152"/>
      <c r="G58" s="31"/>
      <c r="H58" s="31"/>
      <c r="I58" s="31"/>
      <c r="J58" s="31"/>
      <c r="K58" s="31"/>
      <c r="L58" s="30"/>
      <c r="M58" s="235"/>
      <c r="N58" s="40"/>
    </row>
    <row r="59" spans="3:23" x14ac:dyDescent="0.4">
      <c r="C59" s="31"/>
      <c r="D59" s="235"/>
      <c r="E59" s="152"/>
      <c r="F59" s="152"/>
      <c r="G59" s="31"/>
      <c r="H59" s="31"/>
      <c r="I59" s="31"/>
      <c r="J59" s="31"/>
      <c r="K59" s="31"/>
      <c r="L59" s="30"/>
      <c r="M59" s="235"/>
      <c r="N59" s="40"/>
    </row>
    <row r="60" spans="3:23" x14ac:dyDescent="0.4">
      <c r="C60" s="31"/>
      <c r="D60" s="235"/>
      <c r="E60" s="152"/>
      <c r="F60" s="152"/>
      <c r="G60" s="31"/>
      <c r="H60" s="31"/>
      <c r="I60" s="31"/>
      <c r="J60" s="31"/>
      <c r="K60" s="31"/>
      <c r="L60" s="30"/>
      <c r="M60" s="235"/>
      <c r="N60" s="40"/>
    </row>
    <row r="61" spans="3:23" x14ac:dyDescent="0.4">
      <c r="C61" s="31"/>
      <c r="D61" s="235"/>
      <c r="E61" s="152"/>
      <c r="F61" s="152"/>
      <c r="G61" s="31"/>
      <c r="H61" s="31"/>
      <c r="I61" s="31"/>
      <c r="J61" s="31"/>
      <c r="K61" s="31"/>
      <c r="L61" s="30"/>
      <c r="M61" s="235"/>
      <c r="N61" s="40"/>
    </row>
    <row r="62" spans="3:23" x14ac:dyDescent="0.4">
      <c r="C62" s="31"/>
      <c r="D62" s="235"/>
      <c r="E62" s="152"/>
      <c r="F62" s="152"/>
      <c r="G62" s="31"/>
      <c r="H62" s="31"/>
      <c r="I62" s="31"/>
      <c r="J62" s="31"/>
      <c r="K62" s="31"/>
      <c r="L62" s="30"/>
      <c r="M62" s="235"/>
      <c r="N62" s="40"/>
    </row>
    <row r="63" spans="3:23" x14ac:dyDescent="0.4">
      <c r="C63" s="31"/>
      <c r="D63" s="235"/>
      <c r="E63" s="152"/>
      <c r="F63" s="152"/>
      <c r="G63" s="31"/>
      <c r="H63" s="31"/>
      <c r="I63" s="31"/>
      <c r="J63" s="31"/>
      <c r="K63" s="31"/>
      <c r="L63" s="30"/>
      <c r="M63" s="235"/>
      <c r="N63" s="40"/>
    </row>
    <row r="64" spans="3:23" x14ac:dyDescent="0.4">
      <c r="C64" s="31"/>
      <c r="D64" s="235"/>
      <c r="E64" s="152"/>
      <c r="F64" s="152"/>
      <c r="G64" s="31"/>
      <c r="H64" s="31"/>
      <c r="I64" s="31"/>
      <c r="J64" s="31"/>
      <c r="K64" s="31"/>
      <c r="L64" s="30"/>
      <c r="M64" s="235"/>
      <c r="N64" s="40"/>
    </row>
    <row r="65" spans="3:14" x14ac:dyDescent="0.4">
      <c r="C65" s="31"/>
      <c r="D65" s="235"/>
      <c r="E65" s="152"/>
      <c r="F65" s="152"/>
      <c r="G65" s="31"/>
      <c r="H65" s="31"/>
      <c r="I65" s="31"/>
      <c r="J65" s="31"/>
      <c r="K65" s="31"/>
      <c r="L65" s="30"/>
      <c r="M65" s="235"/>
      <c r="N65" s="40"/>
    </row>
    <row r="66" spans="3:14" x14ac:dyDescent="0.4">
      <c r="C66" s="31"/>
      <c r="D66" s="235"/>
      <c r="E66" s="152"/>
      <c r="F66" s="152"/>
      <c r="G66" s="31"/>
      <c r="H66" s="31"/>
      <c r="I66" s="31"/>
      <c r="J66" s="31"/>
      <c r="K66" s="31"/>
      <c r="L66" s="30"/>
      <c r="M66" s="235"/>
      <c r="N66" s="40"/>
    </row>
    <row r="67" spans="3:14" x14ac:dyDescent="0.4">
      <c r="C67" s="31"/>
      <c r="D67" s="235"/>
      <c r="E67" s="152"/>
      <c r="F67" s="152"/>
      <c r="G67" s="31"/>
      <c r="H67" s="31"/>
      <c r="I67" s="31"/>
      <c r="J67" s="31"/>
      <c r="K67" s="31"/>
      <c r="L67" s="30"/>
      <c r="M67" s="235"/>
      <c r="N67" s="40"/>
    </row>
    <row r="68" spans="3:14" x14ac:dyDescent="0.4">
      <c r="C68" s="31"/>
      <c r="D68" s="235"/>
      <c r="E68" s="152"/>
      <c r="F68" s="152"/>
      <c r="G68" s="31"/>
      <c r="H68" s="31"/>
      <c r="I68" s="31"/>
      <c r="J68" s="31"/>
      <c r="K68" s="31"/>
      <c r="L68" s="30"/>
      <c r="M68" s="235"/>
      <c r="N68" s="40"/>
    </row>
    <row r="69" spans="3:14" x14ac:dyDescent="0.4">
      <c r="C69" s="31"/>
      <c r="D69" s="235"/>
      <c r="E69" s="152"/>
      <c r="F69" s="152"/>
      <c r="G69" s="31"/>
      <c r="H69" s="31"/>
      <c r="I69" s="31"/>
      <c r="J69" s="31"/>
      <c r="K69" s="31"/>
      <c r="L69" s="30"/>
      <c r="M69" s="235"/>
      <c r="N69" s="40"/>
    </row>
    <row r="70" spans="3:14" x14ac:dyDescent="0.4">
      <c r="C70" s="31"/>
      <c r="D70" s="235"/>
      <c r="E70" s="152"/>
      <c r="F70" s="152"/>
      <c r="G70" s="31"/>
      <c r="H70" s="31"/>
      <c r="I70" s="31"/>
      <c r="J70" s="31"/>
      <c r="K70" s="31"/>
      <c r="L70" s="30"/>
      <c r="M70" s="235"/>
      <c r="N70" s="40"/>
    </row>
    <row r="71" spans="3:14" x14ac:dyDescent="0.4">
      <c r="C71" s="31"/>
      <c r="D71" s="235"/>
      <c r="E71" s="152"/>
      <c r="F71" s="152"/>
      <c r="G71" s="31"/>
      <c r="H71" s="31"/>
      <c r="I71" s="31"/>
      <c r="J71" s="31"/>
      <c r="K71" s="31"/>
      <c r="L71" s="30"/>
      <c r="M71" s="235"/>
      <c r="N71" s="40"/>
    </row>
    <row r="72" spans="3:14" x14ac:dyDescent="0.4">
      <c r="C72" s="31"/>
      <c r="D72" s="235"/>
      <c r="E72" s="152"/>
      <c r="F72" s="152"/>
      <c r="G72" s="31"/>
      <c r="H72" s="31"/>
      <c r="I72" s="31"/>
      <c r="J72" s="31"/>
      <c r="K72" s="31"/>
      <c r="L72" s="30"/>
      <c r="M72" s="235"/>
      <c r="N72" s="40"/>
    </row>
    <row r="73" spans="3:14" x14ac:dyDescent="0.4">
      <c r="C73" s="31"/>
      <c r="D73" s="235"/>
      <c r="E73" s="152"/>
      <c r="F73" s="152"/>
      <c r="G73" s="31"/>
      <c r="H73" s="31"/>
      <c r="I73" s="31"/>
      <c r="J73" s="31"/>
      <c r="K73" s="31"/>
      <c r="L73" s="30"/>
      <c r="M73" s="235"/>
      <c r="N73" s="40"/>
    </row>
    <row r="74" spans="3:14" x14ac:dyDescent="0.4">
      <c r="C74" s="31"/>
      <c r="D74" s="235"/>
      <c r="E74" s="152"/>
      <c r="F74" s="152"/>
      <c r="G74" s="31"/>
      <c r="H74" s="31"/>
      <c r="I74" s="31"/>
      <c r="J74" s="31"/>
      <c r="K74" s="31"/>
      <c r="L74" s="30"/>
      <c r="M74" s="235"/>
      <c r="N74" s="40"/>
    </row>
    <row r="75" spans="3:14" x14ac:dyDescent="0.4">
      <c r="C75" s="31"/>
      <c r="D75" s="235"/>
      <c r="E75" s="152"/>
      <c r="F75" s="152"/>
      <c r="G75" s="31"/>
      <c r="H75" s="31"/>
      <c r="I75" s="31"/>
      <c r="J75" s="31"/>
      <c r="K75" s="31"/>
      <c r="L75" s="30"/>
      <c r="M75" s="235"/>
      <c r="N75" s="40"/>
    </row>
    <row r="76" spans="3:14" x14ac:dyDescent="0.4">
      <c r="C76" s="31"/>
      <c r="D76" s="235"/>
      <c r="E76" s="152"/>
      <c r="F76" s="152"/>
      <c r="G76" s="31"/>
      <c r="H76" s="31"/>
      <c r="I76" s="31"/>
      <c r="J76" s="31"/>
      <c r="K76" s="31"/>
      <c r="L76" s="30"/>
      <c r="M76" s="235"/>
      <c r="N76" s="40"/>
    </row>
    <row r="77" spans="3:14" x14ac:dyDescent="0.4">
      <c r="C77" s="31"/>
      <c r="D77" s="235"/>
      <c r="E77" s="152"/>
      <c r="F77" s="152"/>
      <c r="G77" s="31"/>
      <c r="H77" s="31"/>
      <c r="I77" s="31"/>
      <c r="J77" s="31"/>
      <c r="K77" s="31"/>
      <c r="L77" s="30"/>
      <c r="M77" s="235"/>
      <c r="N77" s="40"/>
    </row>
    <row r="78" spans="3:14" x14ac:dyDescent="0.4">
      <c r="C78" s="31"/>
      <c r="D78" s="235"/>
      <c r="E78" s="152"/>
      <c r="F78" s="152"/>
      <c r="G78" s="31"/>
      <c r="H78" s="31"/>
      <c r="I78" s="31"/>
      <c r="J78" s="31"/>
      <c r="K78" s="31"/>
      <c r="L78" s="30"/>
      <c r="M78" s="235"/>
      <c r="N78" s="40"/>
    </row>
    <row r="79" spans="3:14" x14ac:dyDescent="0.4">
      <c r="C79" s="31"/>
      <c r="D79" s="235"/>
      <c r="E79" s="152"/>
      <c r="F79" s="152"/>
      <c r="G79" s="31"/>
      <c r="H79" s="31"/>
      <c r="I79" s="31"/>
      <c r="J79" s="31"/>
      <c r="K79" s="31"/>
      <c r="L79" s="30"/>
      <c r="M79" s="235"/>
      <c r="N79" s="40"/>
    </row>
    <row r="80" spans="3:14" x14ac:dyDescent="0.4">
      <c r="C80" s="31"/>
      <c r="D80" s="235"/>
      <c r="E80" s="152"/>
      <c r="F80" s="152"/>
      <c r="G80" s="31"/>
      <c r="H80" s="31"/>
      <c r="I80" s="31"/>
      <c r="J80" s="31"/>
      <c r="K80" s="31"/>
      <c r="L80" s="30"/>
      <c r="M80" s="235"/>
      <c r="N80" s="40"/>
    </row>
    <row r="81" spans="3:14" x14ac:dyDescent="0.4">
      <c r="C81" s="31"/>
      <c r="D81" s="235"/>
      <c r="E81" s="152"/>
      <c r="F81" s="152"/>
      <c r="G81" s="31"/>
      <c r="H81" s="31"/>
      <c r="I81" s="31"/>
      <c r="J81" s="31"/>
      <c r="K81" s="31"/>
      <c r="L81" s="30"/>
      <c r="M81" s="235"/>
      <c r="N81" s="40"/>
    </row>
    <row r="82" spans="3:14" x14ac:dyDescent="0.4">
      <c r="C82" s="31"/>
      <c r="D82" s="235"/>
      <c r="E82" s="152"/>
      <c r="F82" s="152"/>
      <c r="G82" s="31"/>
      <c r="H82" s="31"/>
      <c r="I82" s="31"/>
      <c r="J82" s="31"/>
      <c r="K82" s="31"/>
      <c r="L82" s="30"/>
      <c r="M82" s="235"/>
      <c r="N82" s="40"/>
    </row>
    <row r="83" spans="3:14" x14ac:dyDescent="0.4">
      <c r="C83" s="31"/>
      <c r="D83" s="235"/>
      <c r="E83" s="152"/>
      <c r="F83" s="152"/>
      <c r="G83" s="31"/>
      <c r="H83" s="31"/>
      <c r="I83" s="31"/>
      <c r="J83" s="31"/>
      <c r="K83" s="31"/>
      <c r="L83" s="30"/>
      <c r="M83" s="235"/>
      <c r="N83" s="40"/>
    </row>
    <row r="84" spans="3:14" x14ac:dyDescent="0.4">
      <c r="C84" s="31"/>
      <c r="D84" s="235"/>
      <c r="E84" s="152"/>
      <c r="F84" s="152"/>
      <c r="G84" s="31"/>
      <c r="H84" s="31"/>
      <c r="I84" s="31"/>
      <c r="J84" s="31"/>
      <c r="K84" s="31"/>
      <c r="L84" s="30"/>
      <c r="M84" s="235"/>
      <c r="N84" s="40"/>
    </row>
    <row r="85" spans="3:14" x14ac:dyDescent="0.4">
      <c r="C85" s="31"/>
      <c r="D85" s="235"/>
      <c r="E85" s="152"/>
      <c r="F85" s="152"/>
      <c r="G85" s="31"/>
      <c r="H85" s="31"/>
      <c r="I85" s="31"/>
      <c r="J85" s="31"/>
      <c r="K85" s="31"/>
      <c r="L85" s="30"/>
      <c r="M85" s="235"/>
      <c r="N85" s="40"/>
    </row>
    <row r="86" spans="3:14" x14ac:dyDescent="0.4">
      <c r="C86" s="31"/>
      <c r="D86" s="235"/>
      <c r="E86" s="152"/>
      <c r="F86" s="152"/>
      <c r="G86" s="31"/>
      <c r="H86" s="31"/>
      <c r="I86" s="31"/>
      <c r="J86" s="31"/>
      <c r="K86" s="31"/>
      <c r="L86" s="30"/>
      <c r="M86" s="235"/>
      <c r="N86" s="40"/>
    </row>
    <row r="87" spans="3:14" x14ac:dyDescent="0.4">
      <c r="C87" s="31"/>
      <c r="D87" s="235"/>
      <c r="E87" s="152"/>
      <c r="F87" s="152"/>
      <c r="G87" s="31"/>
      <c r="H87" s="31"/>
      <c r="I87" s="31"/>
      <c r="J87" s="31"/>
      <c r="K87" s="31"/>
      <c r="L87" s="30"/>
      <c r="M87" s="235"/>
      <c r="N87" s="40"/>
    </row>
    <row r="88" spans="3:14" x14ac:dyDescent="0.4">
      <c r="C88" s="31"/>
      <c r="D88" s="235"/>
      <c r="E88" s="152"/>
      <c r="F88" s="152"/>
      <c r="G88" s="31"/>
      <c r="H88" s="31"/>
      <c r="I88" s="31"/>
      <c r="J88" s="31"/>
      <c r="K88" s="31"/>
      <c r="L88" s="30"/>
      <c r="M88" s="235"/>
      <c r="N88" s="40"/>
    </row>
    <row r="89" spans="3:14" x14ac:dyDescent="0.4">
      <c r="C89" s="31"/>
      <c r="D89" s="235"/>
      <c r="E89" s="152"/>
      <c r="F89" s="152"/>
      <c r="G89" s="31"/>
      <c r="H89" s="31"/>
      <c r="I89" s="31"/>
      <c r="J89" s="31"/>
      <c r="K89" s="31"/>
      <c r="L89" s="30"/>
      <c r="M89" s="235"/>
      <c r="N89" s="40"/>
    </row>
    <row r="90" spans="3:14" x14ac:dyDescent="0.4">
      <c r="C90" s="31"/>
      <c r="D90" s="235"/>
      <c r="E90" s="152"/>
      <c r="F90" s="152"/>
      <c r="G90" s="31"/>
      <c r="H90" s="31"/>
      <c r="I90" s="31"/>
      <c r="J90" s="31"/>
      <c r="K90" s="31"/>
      <c r="L90" s="30"/>
      <c r="M90" s="235"/>
      <c r="N90" s="40"/>
    </row>
    <row r="91" spans="3:14" x14ac:dyDescent="0.4">
      <c r="C91" s="31"/>
      <c r="D91" s="235"/>
      <c r="E91" s="152"/>
      <c r="F91" s="152"/>
      <c r="G91" s="31"/>
      <c r="H91" s="31"/>
      <c r="I91" s="31"/>
      <c r="J91" s="31"/>
      <c r="K91" s="31"/>
      <c r="L91" s="30"/>
      <c r="M91" s="235"/>
      <c r="N91" s="40"/>
    </row>
    <row r="92" spans="3:14" x14ac:dyDescent="0.4">
      <c r="C92" s="31"/>
      <c r="D92" s="235"/>
      <c r="E92" s="152"/>
      <c r="F92" s="152"/>
      <c r="G92" s="31"/>
      <c r="H92" s="31"/>
      <c r="I92" s="31"/>
      <c r="J92" s="31"/>
      <c r="K92" s="31"/>
      <c r="L92" s="30"/>
      <c r="M92" s="235"/>
      <c r="N92" s="40"/>
    </row>
    <row r="93" spans="3:14" x14ac:dyDescent="0.4">
      <c r="C93" s="31"/>
      <c r="D93" s="235"/>
      <c r="E93" s="152"/>
      <c r="F93" s="152"/>
      <c r="G93" s="31"/>
      <c r="H93" s="31"/>
      <c r="I93" s="31"/>
      <c r="J93" s="31"/>
      <c r="K93" s="31"/>
      <c r="L93" s="30"/>
      <c r="M93" s="235"/>
      <c r="N93" s="40"/>
    </row>
    <row r="94" spans="3:14" x14ac:dyDescent="0.4">
      <c r="C94" s="31"/>
      <c r="D94" s="235"/>
      <c r="E94" s="152"/>
      <c r="F94" s="152"/>
      <c r="G94" s="31"/>
      <c r="H94" s="31"/>
      <c r="I94" s="31"/>
      <c r="J94" s="31"/>
      <c r="K94" s="31"/>
      <c r="L94" s="30"/>
      <c r="M94" s="235"/>
      <c r="N94" s="40"/>
    </row>
    <row r="95" spans="3:14" x14ac:dyDescent="0.4">
      <c r="C95" s="31"/>
      <c r="D95" s="235"/>
      <c r="E95" s="152"/>
      <c r="F95" s="152"/>
      <c r="G95" s="31"/>
      <c r="H95" s="31"/>
      <c r="I95" s="31"/>
      <c r="J95" s="31"/>
      <c r="K95" s="31"/>
      <c r="L95" s="30"/>
      <c r="M95" s="235"/>
      <c r="N95" s="40"/>
    </row>
    <row r="96" spans="3:14" x14ac:dyDescent="0.4">
      <c r="C96" s="31"/>
      <c r="D96" s="235"/>
      <c r="E96" s="152"/>
      <c r="F96" s="152"/>
      <c r="G96" s="31"/>
      <c r="H96" s="31"/>
      <c r="I96" s="31"/>
      <c r="J96" s="31"/>
      <c r="K96" s="31"/>
      <c r="L96" s="30"/>
      <c r="M96" s="235"/>
      <c r="N96" s="40"/>
    </row>
    <row r="97" spans="3:14" x14ac:dyDescent="0.4">
      <c r="C97" s="31"/>
      <c r="D97" s="235"/>
      <c r="E97" s="152"/>
      <c r="F97" s="152"/>
      <c r="G97" s="31"/>
      <c r="H97" s="31"/>
      <c r="I97" s="31"/>
      <c r="J97" s="31"/>
      <c r="K97" s="31"/>
      <c r="L97" s="30"/>
      <c r="M97" s="235"/>
      <c r="N97" s="40"/>
    </row>
    <row r="98" spans="3:14" x14ac:dyDescent="0.4">
      <c r="C98" s="31"/>
      <c r="D98" s="235"/>
      <c r="E98" s="152"/>
      <c r="F98" s="152"/>
      <c r="G98" s="31"/>
      <c r="H98" s="31"/>
      <c r="I98" s="31"/>
      <c r="J98" s="31"/>
      <c r="K98" s="31"/>
      <c r="L98" s="30"/>
      <c r="M98" s="235"/>
      <c r="N98" s="40"/>
    </row>
    <row r="99" spans="3:14" x14ac:dyDescent="0.4">
      <c r="C99" s="31"/>
      <c r="D99" s="235"/>
      <c r="E99" s="152"/>
      <c r="F99" s="152"/>
      <c r="G99" s="31"/>
      <c r="H99" s="31"/>
      <c r="I99" s="31"/>
      <c r="J99" s="31"/>
      <c r="K99" s="31"/>
      <c r="L99" s="30"/>
      <c r="M99" s="235"/>
      <c r="N99" s="40"/>
    </row>
    <row r="100" spans="3:14" x14ac:dyDescent="0.4">
      <c r="C100" s="31"/>
      <c r="D100" s="235"/>
      <c r="E100" s="152"/>
      <c r="F100" s="152"/>
      <c r="G100" s="31"/>
      <c r="H100" s="31"/>
      <c r="I100" s="31"/>
      <c r="J100" s="31"/>
      <c r="K100" s="31"/>
      <c r="L100" s="30"/>
      <c r="M100" s="235"/>
      <c r="N100" s="40"/>
    </row>
    <row r="101" spans="3:14" x14ac:dyDescent="0.4">
      <c r="C101" s="31"/>
      <c r="D101" s="235"/>
      <c r="E101" s="152"/>
      <c r="F101" s="152"/>
      <c r="G101" s="31"/>
      <c r="H101" s="31"/>
      <c r="I101" s="31"/>
      <c r="J101" s="31"/>
      <c r="K101" s="31"/>
      <c r="L101" s="30"/>
      <c r="M101" s="235"/>
      <c r="N101" s="40"/>
    </row>
    <row r="102" spans="3:14" x14ac:dyDescent="0.4">
      <c r="C102" s="31"/>
      <c r="D102" s="235"/>
      <c r="E102" s="152"/>
      <c r="F102" s="152"/>
      <c r="G102" s="31"/>
      <c r="H102" s="31"/>
      <c r="I102" s="31"/>
      <c r="J102" s="31"/>
      <c r="K102" s="31"/>
      <c r="L102" s="30"/>
      <c r="M102" s="235"/>
      <c r="N102" s="40"/>
    </row>
    <row r="103" spans="3:14" x14ac:dyDescent="0.4">
      <c r="C103" s="31"/>
      <c r="D103" s="235"/>
      <c r="E103" s="152"/>
      <c r="F103" s="152"/>
      <c r="G103" s="31"/>
      <c r="H103" s="31"/>
      <c r="I103" s="31"/>
      <c r="J103" s="31"/>
      <c r="K103" s="31"/>
      <c r="L103" s="30"/>
      <c r="M103" s="235"/>
      <c r="N103" s="40"/>
    </row>
    <row r="104" spans="3:14" x14ac:dyDescent="0.4">
      <c r="C104" s="31"/>
      <c r="D104" s="235"/>
      <c r="E104" s="152"/>
      <c r="F104" s="152"/>
      <c r="G104" s="31"/>
      <c r="H104" s="31"/>
      <c r="I104" s="31"/>
      <c r="J104" s="31"/>
      <c r="K104" s="31"/>
      <c r="L104" s="30"/>
      <c r="M104" s="235"/>
      <c r="N104" s="40"/>
    </row>
    <row r="105" spans="3:14" x14ac:dyDescent="0.4">
      <c r="C105" s="31"/>
      <c r="D105" s="235"/>
      <c r="E105" s="152"/>
      <c r="F105" s="152"/>
      <c r="G105" s="31"/>
      <c r="H105" s="31"/>
      <c r="I105" s="31"/>
      <c r="J105" s="31"/>
      <c r="K105" s="31"/>
      <c r="L105" s="30"/>
      <c r="M105" s="235"/>
      <c r="N105" s="40"/>
    </row>
    <row r="106" spans="3:14" x14ac:dyDescent="0.4">
      <c r="C106" s="31"/>
      <c r="D106" s="235"/>
      <c r="E106" s="152"/>
      <c r="F106" s="152"/>
      <c r="G106" s="31"/>
      <c r="H106" s="31"/>
      <c r="I106" s="31"/>
      <c r="J106" s="31"/>
      <c r="K106" s="31"/>
      <c r="L106" s="30"/>
      <c r="M106" s="235"/>
      <c r="N106" s="40"/>
    </row>
    <row r="107" spans="3:14" x14ac:dyDescent="0.4">
      <c r="C107" s="31"/>
      <c r="D107" s="235"/>
      <c r="E107" s="152"/>
      <c r="F107" s="152"/>
      <c r="G107" s="31"/>
      <c r="H107" s="31"/>
      <c r="I107" s="31"/>
      <c r="J107" s="31"/>
      <c r="K107" s="31"/>
      <c r="L107" s="30"/>
      <c r="M107" s="235"/>
      <c r="N107" s="40"/>
    </row>
    <row r="108" spans="3:14" x14ac:dyDescent="0.4">
      <c r="C108" s="31"/>
      <c r="D108" s="235"/>
      <c r="E108" s="152"/>
      <c r="F108" s="152"/>
      <c r="G108" s="31"/>
      <c r="H108" s="31"/>
      <c r="I108" s="31"/>
      <c r="J108" s="31"/>
      <c r="K108" s="31"/>
      <c r="L108" s="30"/>
      <c r="M108" s="235"/>
      <c r="N108" s="40"/>
    </row>
    <row r="109" spans="3:14" x14ac:dyDescent="0.4">
      <c r="C109" s="31"/>
      <c r="D109" s="235"/>
      <c r="E109" s="152"/>
      <c r="F109" s="152"/>
      <c r="G109" s="31"/>
      <c r="H109" s="31"/>
      <c r="I109" s="31"/>
      <c r="J109" s="31"/>
      <c r="K109" s="31"/>
      <c r="L109" s="30"/>
      <c r="M109" s="235"/>
      <c r="N109" s="40"/>
    </row>
    <row r="110" spans="3:14" x14ac:dyDescent="0.4">
      <c r="C110" s="31"/>
      <c r="D110" s="235"/>
      <c r="E110" s="152"/>
      <c r="F110" s="152"/>
      <c r="G110" s="31"/>
      <c r="H110" s="31"/>
      <c r="I110" s="31"/>
      <c r="J110" s="31"/>
      <c r="K110" s="31"/>
      <c r="L110" s="30"/>
      <c r="M110" s="235"/>
      <c r="N110" s="40"/>
    </row>
    <row r="111" spans="3:14" x14ac:dyDescent="0.4">
      <c r="C111" s="31"/>
      <c r="D111" s="235"/>
      <c r="E111" s="152"/>
      <c r="F111" s="152"/>
      <c r="G111" s="31"/>
      <c r="H111" s="31"/>
      <c r="I111" s="31"/>
      <c r="J111" s="31"/>
      <c r="K111" s="31"/>
      <c r="L111" s="30"/>
      <c r="M111" s="235"/>
      <c r="N111" s="40"/>
    </row>
    <row r="112" spans="3:14" x14ac:dyDescent="0.4">
      <c r="C112" s="31"/>
      <c r="D112" s="235"/>
      <c r="E112" s="152"/>
      <c r="F112" s="152"/>
      <c r="G112" s="31"/>
      <c r="H112" s="31"/>
      <c r="I112" s="31"/>
      <c r="J112" s="31"/>
      <c r="K112" s="31"/>
      <c r="L112" s="30"/>
      <c r="M112" s="235"/>
      <c r="N112" s="40"/>
    </row>
    <row r="113" spans="3:14" x14ac:dyDescent="0.4">
      <c r="C113" s="31"/>
      <c r="D113" s="235"/>
      <c r="E113" s="152"/>
      <c r="F113" s="152"/>
      <c r="G113" s="31"/>
      <c r="H113" s="31"/>
      <c r="I113" s="31"/>
      <c r="J113" s="31"/>
      <c r="K113" s="31"/>
      <c r="L113" s="30"/>
      <c r="M113" s="235"/>
      <c r="N113" s="40"/>
    </row>
    <row r="114" spans="3:14" x14ac:dyDescent="0.4">
      <c r="C114" s="31"/>
      <c r="D114" s="235"/>
      <c r="E114" s="152"/>
      <c r="F114" s="152"/>
      <c r="G114" s="31"/>
      <c r="H114" s="31"/>
      <c r="I114" s="31"/>
      <c r="J114" s="31"/>
      <c r="K114" s="31"/>
      <c r="L114" s="30"/>
      <c r="M114" s="235"/>
      <c r="N114" s="40"/>
    </row>
  </sheetData>
  <sheetProtection algorithmName="SHA-512" hashValue="SbK1+WC9tSk8I8K6DFlHxNkdS2sERt/SAa7sIlCGirttzj54qRS9RQIcG4WLgAizzKegkFEiNbi5Bh3J9VPpBA==" saltValue="40AEdBqrQIe1BWR2SVWhow==" spinCount="100000" sheet="1" objects="1" scenarios="1"/>
  <dataValidations count="2">
    <dataValidation type="date" allowBlank="1" showInputMessage="1" showErrorMessage="1" sqref="E5:F114" xr:uid="{5E418199-C812-42E5-AE71-968ABD6FC4D0}">
      <formula1>43831</formula1>
      <formula2>73051</formula2>
    </dataValidation>
    <dataValidation type="decimal" operator="greaterThanOrEqual" allowBlank="1" showInputMessage="1" showErrorMessage="1" sqref="N5:N114 L5:L114" xr:uid="{71A4C2B2-BCCD-4445-B343-611A0E739309}">
      <formula1>0</formula1>
    </dataValidation>
  </dataValidations>
  <pageMargins left="0.7" right="0.7" top="0.75" bottom="0.75" header="0.3" footer="0.3"/>
  <pageSetup orientation="portrait" r:id="rId1"/>
  <drawing r:id="rId2"/>
  <tableParts count="3">
    <tablePart r:id="rId3"/>
    <tablePart r:id="rId4"/>
    <tablePart r:id="rId5"/>
  </tableParts>
  <extLst>
    <ext xmlns:x14="http://schemas.microsoft.com/office/spreadsheetml/2009/9/main" uri="{CCE6A557-97BC-4b89-ADB6-D9C93CAAB3DF}">
      <x14:dataValidations xmlns:xm="http://schemas.microsoft.com/office/excel/2006/main" count="4">
        <x14:dataValidation type="list" allowBlank="1" showInputMessage="1" showErrorMessage="1" xr:uid="{99C320AB-B954-4190-8186-637887D8D668}">
          <x14:formula1>
            <xm:f>'Dropdown tables - Production'!$C$3:$C$77</xm:f>
          </x14:formula1>
          <xm:sqref>C5:C114</xm:sqref>
        </x14:dataValidation>
        <x14:dataValidation type="list" allowBlank="1" showInputMessage="1" xr:uid="{8187FA60-48CC-4F56-BAE6-ED0420FAFC51}">
          <x14:formula1>
            <xm:f>'Dropdown tables - Production'!$Q$2:$Q$10</xm:f>
          </x14:formula1>
          <xm:sqref>G11:G114 G5:G9</xm:sqref>
        </x14:dataValidation>
        <x14:dataValidation type="list" allowBlank="1" showInputMessage="1" showErrorMessage="1" xr:uid="{7DBF09D1-2473-4C6E-B3BB-C90D9D42EE48}">
          <x14:formula1>
            <xm:f>'Dropdown tables - Production'!$D$2:$D$77</xm:f>
          </x14:formula1>
          <xm:sqref>D5:D114 G5:G114</xm:sqref>
        </x14:dataValidation>
        <x14:dataValidation type="list" allowBlank="1" showInputMessage="1" showErrorMessage="1" xr:uid="{33235EEA-7FD7-4B7B-B2E7-834D2924DD36}">
          <x14:formula1>
            <xm:f>'Dropdown tables - Production'!$R$2:$R$6</xm:f>
          </x14:formula1>
          <xm:sqref>K5:K114</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DB8B9E-B144-47AC-89F4-8BDBE482A0A0}">
  <sheetPr codeName="Sheet14">
    <tabColor theme="9" tint="0.59999389629810485"/>
  </sheetPr>
  <dimension ref="C2:W1000"/>
  <sheetViews>
    <sheetView zoomScale="80" zoomScaleNormal="80" workbookViewId="0"/>
  </sheetViews>
  <sheetFormatPr defaultColWidth="9" defaultRowHeight="16.8" x14ac:dyDescent="0.4"/>
  <cols>
    <col min="1" max="1" width="9" style="15"/>
    <col min="2" max="2" width="0" style="15" hidden="1" customWidth="1"/>
    <col min="3" max="3" width="22" style="15" customWidth="1"/>
    <col min="4" max="4" width="15.77734375" style="15" customWidth="1"/>
    <col min="5" max="5" width="7.5546875" style="15" bestFit="1" customWidth="1"/>
    <col min="6" max="6" width="22" style="15" customWidth="1"/>
    <col min="7" max="7" width="19" style="15" customWidth="1"/>
    <col min="8" max="8" width="30" style="15" customWidth="1"/>
    <col min="9" max="9" width="25.77734375" style="15" bestFit="1" customWidth="1"/>
    <col min="10" max="21" width="9" style="15" customWidth="1"/>
    <col min="22" max="16384" width="9" style="15"/>
  </cols>
  <sheetData>
    <row r="2" spans="3:23" x14ac:dyDescent="0.4">
      <c r="C2" s="18" t="s">
        <v>213</v>
      </c>
      <c r="D2" s="18"/>
    </row>
    <row r="3" spans="3:23" hidden="1" x14ac:dyDescent="0.4">
      <c r="C3" s="15">
        <v>10.1</v>
      </c>
      <c r="D3" s="15">
        <v>10.199999999999999</v>
      </c>
      <c r="E3" s="15">
        <v>10.4</v>
      </c>
      <c r="F3" s="15">
        <v>10.3</v>
      </c>
      <c r="G3" s="15">
        <v>10.5</v>
      </c>
      <c r="H3" s="15">
        <v>10.6</v>
      </c>
      <c r="I3" s="15">
        <v>10.7</v>
      </c>
    </row>
    <row r="4" spans="3:23" ht="33.6" x14ac:dyDescent="0.4">
      <c r="C4" s="23" t="s">
        <v>214</v>
      </c>
      <c r="D4" s="34" t="s">
        <v>215</v>
      </c>
      <c r="E4" s="34" t="s">
        <v>216</v>
      </c>
      <c r="F4" s="34" t="s">
        <v>217</v>
      </c>
      <c r="G4" s="34" t="s">
        <v>218</v>
      </c>
      <c r="H4" s="34" t="s">
        <v>219</v>
      </c>
      <c r="I4" s="36" t="s">
        <v>56</v>
      </c>
    </row>
    <row r="5" spans="3:23" x14ac:dyDescent="0.4">
      <c r="C5" s="154"/>
      <c r="D5" s="37"/>
      <c r="E5" s="37"/>
      <c r="F5" s="31"/>
      <c r="G5" s="31"/>
      <c r="H5" s="30"/>
      <c r="I5" s="29"/>
    </row>
    <row r="6" spans="3:23" x14ac:dyDescent="0.4">
      <c r="C6" s="154"/>
      <c r="D6" s="37"/>
      <c r="E6" s="37"/>
      <c r="F6" s="31"/>
      <c r="G6" s="31"/>
      <c r="H6" s="30"/>
      <c r="I6" s="29"/>
      <c r="O6" s="18"/>
      <c r="P6" s="18"/>
      <c r="Q6" s="18"/>
      <c r="R6" s="18"/>
      <c r="S6" s="18"/>
      <c r="T6" s="18"/>
    </row>
    <row r="7" spans="3:23" x14ac:dyDescent="0.4">
      <c r="C7" s="154"/>
      <c r="D7" s="37"/>
      <c r="E7" s="37"/>
      <c r="F7" s="31"/>
      <c r="G7" s="31"/>
      <c r="H7" s="30"/>
      <c r="I7" s="29"/>
      <c r="J7" s="18"/>
      <c r="K7" s="18"/>
      <c r="L7" s="18"/>
      <c r="M7" s="18"/>
      <c r="N7" s="18"/>
    </row>
    <row r="8" spans="3:23" x14ac:dyDescent="0.4">
      <c r="C8" s="154"/>
      <c r="D8" s="37"/>
      <c r="E8" s="37"/>
      <c r="F8" s="31"/>
      <c r="G8" s="31"/>
      <c r="H8" s="30"/>
      <c r="I8" s="29"/>
      <c r="J8" s="41"/>
    </row>
    <row r="9" spans="3:23" x14ac:dyDescent="0.4">
      <c r="C9" s="154"/>
      <c r="D9" s="37"/>
      <c r="E9" s="37"/>
      <c r="F9" s="31"/>
      <c r="G9" s="31"/>
      <c r="H9" s="30"/>
      <c r="I9" s="29"/>
      <c r="J9" s="41"/>
      <c r="U9" s="18"/>
      <c r="V9" s="18"/>
      <c r="W9" s="18"/>
    </row>
    <row r="10" spans="3:23" x14ac:dyDescent="0.4">
      <c r="C10" s="154"/>
      <c r="D10" s="37"/>
      <c r="E10" s="37"/>
      <c r="F10" s="31"/>
      <c r="G10" s="31"/>
      <c r="H10" s="30"/>
      <c r="I10" s="29"/>
      <c r="J10" s="41"/>
    </row>
    <row r="11" spans="3:23" x14ac:dyDescent="0.4">
      <c r="C11" s="154"/>
      <c r="D11" s="37"/>
      <c r="E11" s="37"/>
      <c r="F11" s="31"/>
      <c r="G11" s="31"/>
      <c r="H11" s="30"/>
      <c r="I11" s="29"/>
      <c r="J11" s="41"/>
    </row>
    <row r="12" spans="3:23" x14ac:dyDescent="0.4">
      <c r="C12" s="154"/>
      <c r="D12" s="37"/>
      <c r="E12" s="37"/>
      <c r="F12" s="31"/>
      <c r="G12" s="31"/>
      <c r="H12" s="30"/>
      <c r="I12" s="29"/>
      <c r="J12" s="41"/>
    </row>
    <row r="13" spans="3:23" x14ac:dyDescent="0.4">
      <c r="C13" s="154"/>
      <c r="D13" s="37"/>
      <c r="E13" s="37"/>
      <c r="F13" s="31"/>
      <c r="G13" s="31"/>
      <c r="H13" s="30"/>
      <c r="I13" s="29"/>
      <c r="J13" s="41"/>
    </row>
    <row r="14" spans="3:23" x14ac:dyDescent="0.4">
      <c r="C14" s="154"/>
      <c r="D14" s="37"/>
      <c r="E14" s="37"/>
      <c r="F14" s="31"/>
      <c r="G14" s="31"/>
      <c r="H14" s="30"/>
      <c r="I14" s="29"/>
      <c r="J14" s="41"/>
    </row>
    <row r="15" spans="3:23" x14ac:dyDescent="0.4">
      <c r="C15" s="154"/>
      <c r="D15" s="37"/>
      <c r="E15" s="37"/>
      <c r="F15" s="31"/>
      <c r="G15" s="31"/>
      <c r="H15" s="30"/>
      <c r="I15" s="29"/>
      <c r="N15" s="41"/>
    </row>
    <row r="16" spans="3:23" x14ac:dyDescent="0.4">
      <c r="C16" s="154"/>
      <c r="D16" s="37"/>
      <c r="E16" s="37"/>
      <c r="F16" s="31"/>
      <c r="G16" s="31"/>
      <c r="H16" s="30"/>
      <c r="I16" s="29"/>
      <c r="N16" s="41"/>
    </row>
    <row r="17" spans="3:14" x14ac:dyDescent="0.4">
      <c r="C17" s="154"/>
      <c r="D17" s="37"/>
      <c r="E17" s="37"/>
      <c r="F17" s="31"/>
      <c r="G17" s="31"/>
      <c r="H17" s="30"/>
      <c r="I17" s="29"/>
      <c r="N17" s="41"/>
    </row>
    <row r="18" spans="3:14" x14ac:dyDescent="0.4">
      <c r="C18" s="154"/>
      <c r="D18" s="37"/>
      <c r="E18" s="37"/>
      <c r="F18" s="31"/>
      <c r="G18" s="31"/>
      <c r="H18" s="30"/>
      <c r="I18" s="29"/>
      <c r="N18" s="41"/>
    </row>
    <row r="19" spans="3:14" x14ac:dyDescent="0.4">
      <c r="C19" s="154"/>
      <c r="D19" s="37"/>
      <c r="E19" s="37"/>
      <c r="F19" s="31"/>
      <c r="G19" s="31"/>
      <c r="H19" s="30"/>
      <c r="I19" s="29"/>
      <c r="N19" s="41"/>
    </row>
    <row r="20" spans="3:14" x14ac:dyDescent="0.4">
      <c r="C20" s="154"/>
      <c r="D20" s="37"/>
      <c r="E20" s="37"/>
      <c r="F20" s="31"/>
      <c r="G20" s="31"/>
      <c r="H20" s="30"/>
      <c r="I20" s="29"/>
      <c r="N20" s="41"/>
    </row>
    <row r="21" spans="3:14" x14ac:dyDescent="0.4">
      <c r="C21" s="154"/>
      <c r="D21" s="37"/>
      <c r="E21" s="37"/>
      <c r="F21" s="31"/>
      <c r="G21" s="31"/>
      <c r="H21" s="30"/>
      <c r="I21" s="29"/>
      <c r="N21" s="41"/>
    </row>
    <row r="22" spans="3:14" x14ac:dyDescent="0.4">
      <c r="C22" s="154"/>
      <c r="D22" s="37"/>
      <c r="E22" s="37"/>
      <c r="F22" s="31"/>
      <c r="G22" s="31"/>
      <c r="H22" s="30"/>
      <c r="I22" s="29"/>
      <c r="N22" s="41"/>
    </row>
    <row r="23" spans="3:14" x14ac:dyDescent="0.4">
      <c r="C23" s="154"/>
      <c r="D23" s="37"/>
      <c r="E23" s="37"/>
      <c r="F23" s="31"/>
      <c r="G23" s="31"/>
      <c r="H23" s="30"/>
      <c r="I23" s="29"/>
      <c r="N23" s="41"/>
    </row>
    <row r="24" spans="3:14" x14ac:dyDescent="0.4">
      <c r="C24" s="154"/>
      <c r="D24" s="37"/>
      <c r="E24" s="37"/>
      <c r="F24" s="31"/>
      <c r="G24" s="31"/>
      <c r="H24" s="30"/>
      <c r="I24" s="29"/>
      <c r="N24" s="41"/>
    </row>
    <row r="25" spans="3:14" x14ac:dyDescent="0.4">
      <c r="C25" s="154"/>
      <c r="D25" s="37"/>
      <c r="E25" s="37"/>
      <c r="F25" s="31"/>
      <c r="G25" s="31"/>
      <c r="H25" s="30"/>
      <c r="I25" s="29"/>
      <c r="N25" s="41"/>
    </row>
    <row r="26" spans="3:14" x14ac:dyDescent="0.4">
      <c r="C26" s="154"/>
      <c r="D26" s="37"/>
      <c r="E26" s="37"/>
      <c r="F26" s="31"/>
      <c r="G26" s="31"/>
      <c r="H26" s="30"/>
      <c r="I26" s="29"/>
    </row>
    <row r="27" spans="3:14" x14ac:dyDescent="0.4">
      <c r="C27" s="154"/>
      <c r="D27" s="37"/>
      <c r="E27" s="37"/>
      <c r="F27" s="31"/>
      <c r="G27" s="31"/>
      <c r="H27" s="30"/>
      <c r="I27" s="29"/>
    </row>
    <row r="28" spans="3:14" x14ac:dyDescent="0.4">
      <c r="C28" s="154"/>
      <c r="D28" s="37"/>
      <c r="E28" s="37"/>
      <c r="F28" s="31"/>
      <c r="G28" s="31"/>
      <c r="H28" s="30"/>
      <c r="I28" s="29"/>
    </row>
    <row r="29" spans="3:14" x14ac:dyDescent="0.4">
      <c r="C29" s="154"/>
      <c r="D29" s="37"/>
      <c r="E29" s="37"/>
      <c r="F29" s="31"/>
      <c r="G29" s="31"/>
      <c r="H29" s="30"/>
      <c r="I29" s="29"/>
    </row>
    <row r="30" spans="3:14" x14ac:dyDescent="0.4">
      <c r="C30" s="154"/>
      <c r="D30" s="37"/>
      <c r="E30" s="37"/>
      <c r="F30" s="31"/>
      <c r="G30" s="31"/>
      <c r="H30" s="30"/>
      <c r="I30" s="29"/>
    </row>
    <row r="31" spans="3:14" x14ac:dyDescent="0.4">
      <c r="C31" s="154"/>
      <c r="D31" s="37"/>
      <c r="E31" s="37"/>
      <c r="F31" s="31"/>
      <c r="G31" s="31"/>
      <c r="H31" s="30"/>
      <c r="I31" s="29"/>
    </row>
    <row r="32" spans="3:14" x14ac:dyDescent="0.4">
      <c r="C32" s="154"/>
      <c r="D32" s="37"/>
      <c r="E32" s="37"/>
      <c r="F32" s="31"/>
      <c r="G32" s="31"/>
      <c r="H32" s="30"/>
      <c r="I32" s="29"/>
    </row>
    <row r="33" spans="3:9" x14ac:dyDescent="0.4">
      <c r="C33" s="154"/>
      <c r="D33" s="37"/>
      <c r="E33" s="37"/>
      <c r="F33" s="31"/>
      <c r="G33" s="31"/>
      <c r="H33" s="30"/>
      <c r="I33" s="29"/>
    </row>
    <row r="34" spans="3:9" x14ac:dyDescent="0.4">
      <c r="C34" s="154"/>
      <c r="D34" s="37"/>
      <c r="E34" s="37"/>
      <c r="F34" s="31"/>
      <c r="G34" s="31"/>
      <c r="H34" s="30"/>
      <c r="I34" s="29"/>
    </row>
    <row r="35" spans="3:9" x14ac:dyDescent="0.4">
      <c r="C35" s="154"/>
      <c r="D35" s="37"/>
      <c r="E35" s="37"/>
      <c r="F35" s="31"/>
      <c r="G35" s="31"/>
      <c r="H35" s="30"/>
      <c r="I35" s="29"/>
    </row>
    <row r="36" spans="3:9" x14ac:dyDescent="0.4">
      <c r="C36" s="154"/>
      <c r="D36" s="37"/>
      <c r="E36" s="37"/>
      <c r="F36" s="31"/>
      <c r="G36" s="31"/>
      <c r="H36" s="30"/>
      <c r="I36" s="29"/>
    </row>
    <row r="37" spans="3:9" x14ac:dyDescent="0.4">
      <c r="C37" s="154"/>
      <c r="D37" s="37"/>
      <c r="E37" s="37"/>
      <c r="F37" s="31"/>
      <c r="G37" s="31"/>
      <c r="H37" s="30"/>
      <c r="I37" s="29"/>
    </row>
    <row r="38" spans="3:9" x14ac:dyDescent="0.4">
      <c r="C38" s="154"/>
      <c r="D38" s="37"/>
      <c r="E38" s="37"/>
      <c r="F38" s="31"/>
      <c r="G38" s="31"/>
      <c r="H38" s="30"/>
      <c r="I38" s="29"/>
    </row>
    <row r="39" spans="3:9" x14ac:dyDescent="0.4">
      <c r="C39" s="154"/>
      <c r="D39" s="37"/>
      <c r="E39" s="37"/>
      <c r="F39" s="31"/>
      <c r="G39" s="31"/>
      <c r="H39" s="30"/>
      <c r="I39" s="29"/>
    </row>
    <row r="40" spans="3:9" x14ac:dyDescent="0.4">
      <c r="C40" s="154"/>
      <c r="D40" s="37"/>
      <c r="E40" s="37"/>
      <c r="F40" s="31"/>
      <c r="G40" s="31"/>
      <c r="H40" s="30"/>
      <c r="I40" s="29"/>
    </row>
    <row r="41" spans="3:9" x14ac:dyDescent="0.4">
      <c r="C41" s="154"/>
      <c r="D41" s="37"/>
      <c r="E41" s="37"/>
      <c r="F41" s="31"/>
      <c r="G41" s="31"/>
      <c r="H41" s="30"/>
      <c r="I41" s="29"/>
    </row>
    <row r="42" spans="3:9" x14ac:dyDescent="0.4">
      <c r="C42" s="154"/>
      <c r="D42" s="37"/>
      <c r="E42" s="37"/>
      <c r="F42" s="31"/>
      <c r="G42" s="31"/>
      <c r="H42" s="30"/>
      <c r="I42" s="29"/>
    </row>
    <row r="43" spans="3:9" x14ac:dyDescent="0.4">
      <c r="C43" s="154"/>
      <c r="D43" s="37"/>
      <c r="E43" s="37"/>
      <c r="F43" s="31"/>
      <c r="G43" s="31"/>
      <c r="H43" s="30"/>
      <c r="I43" s="29"/>
    </row>
    <row r="44" spans="3:9" x14ac:dyDescent="0.4">
      <c r="C44" s="154"/>
      <c r="D44" s="37"/>
      <c r="E44" s="37"/>
      <c r="F44" s="31"/>
      <c r="G44" s="31"/>
      <c r="H44" s="30"/>
      <c r="I44" s="29"/>
    </row>
    <row r="45" spans="3:9" x14ac:dyDescent="0.4">
      <c r="C45" s="154"/>
      <c r="D45" s="37"/>
      <c r="E45" s="37"/>
      <c r="F45" s="31"/>
      <c r="G45" s="31"/>
      <c r="H45" s="30"/>
      <c r="I45" s="29"/>
    </row>
    <row r="46" spans="3:9" x14ac:dyDescent="0.4">
      <c r="C46" s="154"/>
      <c r="D46" s="37"/>
      <c r="E46" s="37"/>
      <c r="F46" s="31"/>
      <c r="G46" s="31"/>
      <c r="H46" s="30"/>
      <c r="I46" s="29"/>
    </row>
    <row r="47" spans="3:9" x14ac:dyDescent="0.4">
      <c r="C47" s="154"/>
      <c r="D47" s="37"/>
      <c r="E47" s="37"/>
      <c r="F47" s="31"/>
      <c r="G47" s="31"/>
      <c r="H47" s="30"/>
      <c r="I47" s="29"/>
    </row>
    <row r="48" spans="3:9" x14ac:dyDescent="0.4">
      <c r="C48" s="154"/>
      <c r="D48" s="37"/>
      <c r="E48" s="37"/>
      <c r="F48" s="31"/>
      <c r="G48" s="31"/>
      <c r="H48" s="30"/>
      <c r="I48" s="29"/>
    </row>
    <row r="49" spans="3:9" x14ac:dyDescent="0.4">
      <c r="C49" s="154"/>
      <c r="D49" s="37"/>
      <c r="E49" s="37"/>
      <c r="F49" s="31"/>
      <c r="G49" s="31"/>
      <c r="H49" s="30"/>
      <c r="I49" s="29"/>
    </row>
    <row r="50" spans="3:9" x14ac:dyDescent="0.4">
      <c r="C50" s="154"/>
      <c r="D50" s="37"/>
      <c r="E50" s="37"/>
      <c r="F50" s="31"/>
      <c r="G50" s="31"/>
      <c r="H50" s="30"/>
      <c r="I50" s="29"/>
    </row>
    <row r="51" spans="3:9" x14ac:dyDescent="0.4">
      <c r="C51" s="154"/>
      <c r="D51" s="37"/>
      <c r="E51" s="37"/>
      <c r="F51" s="31"/>
      <c r="G51" s="31"/>
      <c r="H51" s="30"/>
      <c r="I51" s="29"/>
    </row>
    <row r="52" spans="3:9" x14ac:dyDescent="0.4">
      <c r="C52" s="154"/>
      <c r="D52" s="37"/>
      <c r="E52" s="37"/>
      <c r="F52" s="31"/>
      <c r="G52" s="31"/>
      <c r="H52" s="30"/>
      <c r="I52" s="29"/>
    </row>
    <row r="53" spans="3:9" x14ac:dyDescent="0.4">
      <c r="C53" s="154"/>
      <c r="D53" s="37"/>
      <c r="E53" s="37"/>
      <c r="F53" s="31"/>
      <c r="G53" s="31"/>
      <c r="H53" s="30"/>
      <c r="I53" s="29"/>
    </row>
    <row r="54" spans="3:9" x14ac:dyDescent="0.4">
      <c r="C54" s="154"/>
      <c r="D54" s="37"/>
      <c r="E54" s="37"/>
      <c r="F54" s="31"/>
      <c r="G54" s="31"/>
      <c r="H54" s="30"/>
      <c r="I54" s="29"/>
    </row>
    <row r="55" spans="3:9" x14ac:dyDescent="0.4">
      <c r="C55" s="154"/>
      <c r="D55" s="37"/>
      <c r="E55" s="37"/>
      <c r="F55" s="31"/>
      <c r="G55" s="31"/>
      <c r="H55" s="30"/>
      <c r="I55" s="29"/>
    </row>
    <row r="56" spans="3:9" x14ac:dyDescent="0.4">
      <c r="C56" s="154"/>
      <c r="D56" s="37"/>
      <c r="E56" s="37"/>
      <c r="F56" s="31"/>
      <c r="G56" s="31"/>
      <c r="H56" s="30"/>
      <c r="I56" s="29"/>
    </row>
    <row r="57" spans="3:9" x14ac:dyDescent="0.4">
      <c r="C57" s="154"/>
      <c r="D57" s="37"/>
      <c r="E57" s="37"/>
      <c r="F57" s="31"/>
      <c r="G57" s="31"/>
      <c r="H57" s="30"/>
      <c r="I57" s="29"/>
    </row>
    <row r="58" spans="3:9" x14ac:dyDescent="0.4">
      <c r="C58" s="154"/>
      <c r="D58" s="37"/>
      <c r="E58" s="37"/>
      <c r="F58" s="31"/>
      <c r="G58" s="31"/>
      <c r="H58" s="30"/>
      <c r="I58" s="29"/>
    </row>
    <row r="59" spans="3:9" x14ac:dyDescent="0.4">
      <c r="C59" s="154"/>
      <c r="D59" s="37"/>
      <c r="E59" s="37"/>
      <c r="F59" s="31"/>
      <c r="G59" s="31"/>
      <c r="H59" s="30"/>
      <c r="I59" s="29"/>
    </row>
    <row r="60" spans="3:9" x14ac:dyDescent="0.4">
      <c r="C60" s="154"/>
      <c r="D60" s="37"/>
      <c r="E60" s="37"/>
      <c r="F60" s="31"/>
      <c r="G60" s="31"/>
      <c r="H60" s="30"/>
      <c r="I60" s="29"/>
    </row>
    <row r="61" spans="3:9" x14ac:dyDescent="0.4">
      <c r="C61" s="154"/>
      <c r="D61" s="37"/>
      <c r="E61" s="37"/>
      <c r="F61" s="31"/>
      <c r="G61" s="31"/>
      <c r="H61" s="30"/>
      <c r="I61" s="29"/>
    </row>
    <row r="62" spans="3:9" x14ac:dyDescent="0.4">
      <c r="C62" s="154"/>
      <c r="D62" s="37"/>
      <c r="E62" s="37"/>
      <c r="F62" s="31"/>
      <c r="G62" s="31"/>
      <c r="H62" s="30"/>
      <c r="I62" s="29"/>
    </row>
    <row r="63" spans="3:9" x14ac:dyDescent="0.4">
      <c r="C63" s="154"/>
      <c r="D63" s="37"/>
      <c r="E63" s="37"/>
      <c r="F63" s="31"/>
      <c r="G63" s="31"/>
      <c r="H63" s="30"/>
      <c r="I63" s="29"/>
    </row>
    <row r="64" spans="3:9" x14ac:dyDescent="0.4">
      <c r="C64" s="154"/>
      <c r="D64" s="37"/>
      <c r="E64" s="37"/>
      <c r="F64" s="31"/>
      <c r="G64" s="31"/>
      <c r="H64" s="30"/>
      <c r="I64" s="29"/>
    </row>
    <row r="65" spans="3:9" x14ac:dyDescent="0.4">
      <c r="C65" s="154"/>
      <c r="D65" s="37"/>
      <c r="E65" s="37"/>
      <c r="F65" s="31"/>
      <c r="G65" s="31"/>
      <c r="H65" s="30"/>
      <c r="I65" s="29"/>
    </row>
    <row r="66" spans="3:9" x14ac:dyDescent="0.4">
      <c r="C66" s="154"/>
      <c r="D66" s="37"/>
      <c r="E66" s="37"/>
      <c r="F66" s="31"/>
      <c r="G66" s="31"/>
      <c r="H66" s="30"/>
      <c r="I66" s="29"/>
    </row>
    <row r="67" spans="3:9" x14ac:dyDescent="0.4">
      <c r="C67" s="154"/>
      <c r="D67" s="37"/>
      <c r="E67" s="37"/>
      <c r="F67" s="31"/>
      <c r="G67" s="31"/>
      <c r="H67" s="30"/>
      <c r="I67" s="29"/>
    </row>
    <row r="68" spans="3:9" x14ac:dyDescent="0.4">
      <c r="C68" s="154"/>
      <c r="D68" s="37"/>
      <c r="E68" s="37"/>
      <c r="F68" s="31"/>
      <c r="G68" s="31"/>
      <c r="H68" s="30"/>
      <c r="I68" s="29"/>
    </row>
    <row r="69" spans="3:9" x14ac:dyDescent="0.4">
      <c r="C69" s="154"/>
      <c r="D69" s="37"/>
      <c r="E69" s="37"/>
      <c r="F69" s="31"/>
      <c r="G69" s="31"/>
      <c r="H69" s="30"/>
      <c r="I69" s="29"/>
    </row>
    <row r="70" spans="3:9" x14ac:dyDescent="0.4">
      <c r="C70" s="154"/>
      <c r="D70" s="37"/>
      <c r="E70" s="37"/>
      <c r="F70" s="31"/>
      <c r="G70" s="31"/>
      <c r="H70" s="30"/>
      <c r="I70" s="29"/>
    </row>
    <row r="71" spans="3:9" x14ac:dyDescent="0.4">
      <c r="C71" s="154"/>
      <c r="D71" s="37"/>
      <c r="E71" s="37"/>
      <c r="F71" s="31"/>
      <c r="G71" s="31"/>
      <c r="H71" s="30"/>
      <c r="I71" s="29"/>
    </row>
    <row r="72" spans="3:9" x14ac:dyDescent="0.4">
      <c r="C72" s="154"/>
      <c r="D72" s="37"/>
      <c r="E72" s="37"/>
      <c r="F72" s="31"/>
      <c r="G72" s="31"/>
      <c r="H72" s="30"/>
      <c r="I72" s="29"/>
    </row>
    <row r="73" spans="3:9" x14ac:dyDescent="0.4">
      <c r="C73" s="154"/>
      <c r="D73" s="37"/>
      <c r="E73" s="37"/>
      <c r="F73" s="31"/>
      <c r="G73" s="31"/>
      <c r="H73" s="30"/>
      <c r="I73" s="29"/>
    </row>
    <row r="74" spans="3:9" x14ac:dyDescent="0.4">
      <c r="C74" s="154"/>
      <c r="D74" s="37"/>
      <c r="E74" s="37"/>
      <c r="F74" s="31"/>
      <c r="G74" s="31"/>
      <c r="H74" s="30"/>
      <c r="I74" s="29"/>
    </row>
    <row r="75" spans="3:9" x14ac:dyDescent="0.4">
      <c r="C75" s="154"/>
      <c r="D75" s="37"/>
      <c r="E75" s="37"/>
      <c r="F75" s="31"/>
      <c r="G75" s="31"/>
      <c r="H75" s="30"/>
      <c r="I75" s="29"/>
    </row>
    <row r="76" spans="3:9" x14ac:dyDescent="0.4">
      <c r="C76" s="154"/>
      <c r="D76" s="37"/>
      <c r="E76" s="37"/>
      <c r="F76" s="31"/>
      <c r="G76" s="31"/>
      <c r="H76" s="30"/>
      <c r="I76" s="29"/>
    </row>
    <row r="77" spans="3:9" x14ac:dyDescent="0.4">
      <c r="C77" s="154"/>
      <c r="D77" s="37"/>
      <c r="E77" s="37"/>
      <c r="F77" s="31"/>
      <c r="G77" s="31"/>
      <c r="H77" s="30"/>
      <c r="I77" s="29"/>
    </row>
    <row r="78" spans="3:9" x14ac:dyDescent="0.4">
      <c r="C78" s="154"/>
      <c r="D78" s="37"/>
      <c r="E78" s="37"/>
      <c r="F78" s="31"/>
      <c r="G78" s="31"/>
      <c r="H78" s="30"/>
      <c r="I78" s="29"/>
    </row>
    <row r="79" spans="3:9" x14ac:dyDescent="0.4">
      <c r="C79" s="154"/>
      <c r="D79" s="37"/>
      <c r="E79" s="37"/>
      <c r="F79" s="31"/>
      <c r="G79" s="31"/>
      <c r="H79" s="30"/>
      <c r="I79" s="29"/>
    </row>
    <row r="80" spans="3:9" x14ac:dyDescent="0.4">
      <c r="C80" s="154"/>
      <c r="D80" s="37"/>
      <c r="E80" s="37"/>
      <c r="F80" s="31"/>
      <c r="G80" s="31"/>
      <c r="H80" s="30"/>
      <c r="I80" s="29"/>
    </row>
    <row r="81" spans="3:9" x14ac:dyDescent="0.4">
      <c r="C81" s="154"/>
      <c r="D81" s="37"/>
      <c r="E81" s="37"/>
      <c r="F81" s="31"/>
      <c r="G81" s="31"/>
      <c r="H81" s="30"/>
      <c r="I81" s="29"/>
    </row>
    <row r="82" spans="3:9" x14ac:dyDescent="0.4">
      <c r="C82" s="154"/>
      <c r="D82" s="37"/>
      <c r="E82" s="37"/>
      <c r="F82" s="31"/>
      <c r="G82" s="31"/>
      <c r="H82" s="30"/>
      <c r="I82" s="29"/>
    </row>
    <row r="83" spans="3:9" x14ac:dyDescent="0.4">
      <c r="C83" s="154"/>
      <c r="D83" s="37"/>
      <c r="E83" s="37"/>
      <c r="F83" s="31"/>
      <c r="G83" s="31"/>
      <c r="H83" s="30"/>
      <c r="I83" s="29"/>
    </row>
    <row r="84" spans="3:9" x14ac:dyDescent="0.4">
      <c r="C84" s="154"/>
      <c r="D84" s="37"/>
      <c r="E84" s="37"/>
      <c r="F84" s="31"/>
      <c r="G84" s="31"/>
      <c r="H84" s="30"/>
      <c r="I84" s="29"/>
    </row>
    <row r="85" spans="3:9" x14ac:dyDescent="0.4">
      <c r="C85" s="154"/>
      <c r="D85" s="37"/>
      <c r="E85" s="37"/>
      <c r="F85" s="31"/>
      <c r="G85" s="31"/>
      <c r="H85" s="30"/>
      <c r="I85" s="29"/>
    </row>
    <row r="86" spans="3:9" x14ac:dyDescent="0.4">
      <c r="C86" s="154"/>
      <c r="D86" s="37"/>
      <c r="E86" s="37"/>
      <c r="F86" s="31"/>
      <c r="G86" s="31"/>
      <c r="H86" s="30"/>
      <c r="I86" s="29"/>
    </row>
    <row r="87" spans="3:9" x14ac:dyDescent="0.4">
      <c r="C87" s="154"/>
      <c r="D87" s="37"/>
      <c r="E87" s="37"/>
      <c r="F87" s="31"/>
      <c r="G87" s="31"/>
      <c r="H87" s="30"/>
      <c r="I87" s="29"/>
    </row>
    <row r="88" spans="3:9" x14ac:dyDescent="0.4">
      <c r="C88" s="154"/>
      <c r="D88" s="37"/>
      <c r="E88" s="37"/>
      <c r="F88" s="31"/>
      <c r="G88" s="31"/>
      <c r="H88" s="30"/>
      <c r="I88" s="29"/>
    </row>
    <row r="89" spans="3:9" x14ac:dyDescent="0.4">
      <c r="C89" s="154"/>
      <c r="D89" s="37"/>
      <c r="E89" s="37"/>
      <c r="F89" s="31"/>
      <c r="G89" s="31"/>
      <c r="H89" s="30"/>
      <c r="I89" s="29"/>
    </row>
    <row r="90" spans="3:9" x14ac:dyDescent="0.4">
      <c r="C90" s="154"/>
      <c r="D90" s="37"/>
      <c r="E90" s="37"/>
      <c r="F90" s="31"/>
      <c r="G90" s="31"/>
      <c r="H90" s="30"/>
      <c r="I90" s="29"/>
    </row>
    <row r="91" spans="3:9" x14ac:dyDescent="0.4">
      <c r="C91" s="154"/>
      <c r="D91" s="37"/>
      <c r="E91" s="37"/>
      <c r="F91" s="31"/>
      <c r="G91" s="31"/>
      <c r="H91" s="30"/>
      <c r="I91" s="29"/>
    </row>
    <row r="92" spans="3:9" x14ac:dyDescent="0.4">
      <c r="C92" s="154"/>
      <c r="D92" s="37"/>
      <c r="E92" s="37"/>
      <c r="F92" s="31"/>
      <c r="G92" s="31"/>
      <c r="H92" s="30"/>
      <c r="I92" s="29"/>
    </row>
    <row r="93" spans="3:9" x14ac:dyDescent="0.4">
      <c r="C93" s="154"/>
      <c r="D93" s="37"/>
      <c r="E93" s="37"/>
      <c r="F93" s="31"/>
      <c r="G93" s="31"/>
      <c r="H93" s="30"/>
      <c r="I93" s="29"/>
    </row>
    <row r="94" spans="3:9" x14ac:dyDescent="0.4">
      <c r="C94" s="154"/>
      <c r="D94" s="37"/>
      <c r="E94" s="37"/>
      <c r="F94" s="31"/>
      <c r="G94" s="31"/>
      <c r="H94" s="30"/>
      <c r="I94" s="29"/>
    </row>
    <row r="95" spans="3:9" x14ac:dyDescent="0.4">
      <c r="C95" s="154"/>
      <c r="D95" s="37"/>
      <c r="E95" s="37"/>
      <c r="F95" s="31"/>
      <c r="G95" s="31"/>
      <c r="H95" s="30"/>
      <c r="I95" s="29"/>
    </row>
    <row r="96" spans="3:9" x14ac:dyDescent="0.4">
      <c r="C96" s="154"/>
      <c r="D96" s="37"/>
      <c r="E96" s="37"/>
      <c r="F96" s="31"/>
      <c r="G96" s="31"/>
      <c r="H96" s="30"/>
      <c r="I96" s="29"/>
    </row>
    <row r="97" spans="3:9" x14ac:dyDescent="0.4">
      <c r="C97" s="154"/>
      <c r="D97" s="37"/>
      <c r="E97" s="37"/>
      <c r="F97" s="31"/>
      <c r="G97" s="31"/>
      <c r="H97" s="30"/>
      <c r="I97" s="29"/>
    </row>
    <row r="98" spans="3:9" x14ac:dyDescent="0.4">
      <c r="C98" s="154"/>
      <c r="D98" s="37"/>
      <c r="E98" s="37"/>
      <c r="F98" s="31"/>
      <c r="G98" s="31"/>
      <c r="H98" s="30"/>
      <c r="I98" s="29"/>
    </row>
    <row r="99" spans="3:9" x14ac:dyDescent="0.4">
      <c r="C99" s="154"/>
      <c r="D99" s="37"/>
      <c r="E99" s="37"/>
      <c r="F99" s="31"/>
      <c r="G99" s="31"/>
      <c r="H99" s="30"/>
      <c r="I99" s="29"/>
    </row>
    <row r="100" spans="3:9" x14ac:dyDescent="0.4">
      <c r="C100" s="154"/>
      <c r="D100" s="37"/>
      <c r="E100" s="37"/>
      <c r="F100" s="31"/>
      <c r="G100" s="31"/>
      <c r="H100" s="30"/>
      <c r="I100" s="29"/>
    </row>
    <row r="101" spans="3:9" x14ac:dyDescent="0.4">
      <c r="C101" s="154"/>
      <c r="D101" s="37"/>
      <c r="E101" s="37"/>
      <c r="F101" s="31"/>
      <c r="G101" s="31"/>
      <c r="H101" s="30"/>
      <c r="I101" s="29"/>
    </row>
    <row r="102" spans="3:9" x14ac:dyDescent="0.4">
      <c r="C102" s="154"/>
      <c r="D102" s="37"/>
      <c r="E102" s="37"/>
      <c r="F102" s="31"/>
      <c r="G102" s="31"/>
      <c r="H102" s="30"/>
      <c r="I102" s="29"/>
    </row>
    <row r="103" spans="3:9" x14ac:dyDescent="0.4">
      <c r="C103" s="154"/>
      <c r="D103" s="37"/>
      <c r="E103" s="37"/>
      <c r="F103" s="31"/>
      <c r="G103" s="31"/>
      <c r="H103" s="30"/>
      <c r="I103" s="29"/>
    </row>
    <row r="104" spans="3:9" x14ac:dyDescent="0.4">
      <c r="C104" s="154"/>
      <c r="D104" s="37"/>
      <c r="E104" s="37"/>
      <c r="F104" s="31"/>
      <c r="G104" s="31"/>
      <c r="H104" s="30"/>
      <c r="I104" s="29"/>
    </row>
    <row r="105" spans="3:9" x14ac:dyDescent="0.4">
      <c r="C105" s="154"/>
      <c r="D105" s="37"/>
      <c r="E105" s="37"/>
      <c r="F105" s="31"/>
      <c r="G105" s="31"/>
      <c r="H105" s="30"/>
      <c r="I105" s="29"/>
    </row>
    <row r="106" spans="3:9" x14ac:dyDescent="0.4">
      <c r="C106" s="154"/>
      <c r="D106" s="37"/>
      <c r="E106" s="37"/>
      <c r="F106" s="31"/>
      <c r="G106" s="31"/>
      <c r="H106" s="30"/>
      <c r="I106" s="29"/>
    </row>
    <row r="107" spans="3:9" x14ac:dyDescent="0.4">
      <c r="C107" s="154"/>
      <c r="D107" s="37"/>
      <c r="E107" s="37"/>
      <c r="F107" s="31"/>
      <c r="G107" s="31"/>
      <c r="H107" s="30"/>
      <c r="I107" s="29"/>
    </row>
    <row r="108" spans="3:9" x14ac:dyDescent="0.4">
      <c r="C108" s="154"/>
      <c r="D108" s="37"/>
      <c r="E108" s="37"/>
      <c r="F108" s="31"/>
      <c r="G108" s="31"/>
      <c r="H108" s="30"/>
      <c r="I108" s="29"/>
    </row>
    <row r="109" spans="3:9" x14ac:dyDescent="0.4">
      <c r="C109" s="154"/>
      <c r="D109" s="37"/>
      <c r="E109" s="37"/>
      <c r="F109" s="31"/>
      <c r="G109" s="31"/>
      <c r="H109" s="30"/>
      <c r="I109" s="29"/>
    </row>
    <row r="110" spans="3:9" x14ac:dyDescent="0.4">
      <c r="C110" s="154"/>
      <c r="D110" s="37"/>
      <c r="E110" s="37"/>
      <c r="F110" s="31"/>
      <c r="G110" s="31"/>
      <c r="H110" s="30"/>
      <c r="I110" s="29"/>
    </row>
    <row r="111" spans="3:9" x14ac:dyDescent="0.4">
      <c r="C111" s="154"/>
      <c r="D111" s="37"/>
      <c r="E111" s="37"/>
      <c r="F111" s="31"/>
      <c r="G111" s="31"/>
      <c r="H111" s="30"/>
      <c r="I111" s="29"/>
    </row>
    <row r="112" spans="3:9" x14ac:dyDescent="0.4">
      <c r="C112" s="154"/>
      <c r="D112" s="37"/>
      <c r="E112" s="37"/>
      <c r="F112" s="31"/>
      <c r="G112" s="31"/>
      <c r="H112" s="30"/>
      <c r="I112" s="29"/>
    </row>
    <row r="113" spans="3:9" x14ac:dyDescent="0.4">
      <c r="C113" s="154"/>
      <c r="D113" s="37"/>
      <c r="E113" s="37"/>
      <c r="F113" s="31"/>
      <c r="G113" s="31"/>
      <c r="H113" s="30"/>
      <c r="I113" s="29"/>
    </row>
    <row r="114" spans="3:9" x14ac:dyDescent="0.4">
      <c r="C114" s="154"/>
      <c r="D114" s="37"/>
      <c r="E114" s="37"/>
      <c r="F114" s="31"/>
      <c r="G114" s="31"/>
      <c r="H114" s="30"/>
      <c r="I114" s="29"/>
    </row>
    <row r="115" spans="3:9" x14ac:dyDescent="0.4">
      <c r="C115" s="154"/>
      <c r="D115" s="37"/>
      <c r="E115" s="37"/>
      <c r="F115" s="31"/>
      <c r="G115" s="31"/>
      <c r="H115" s="30"/>
      <c r="I115" s="29"/>
    </row>
    <row r="116" spans="3:9" x14ac:dyDescent="0.4">
      <c r="C116" s="154"/>
      <c r="D116" s="37"/>
      <c r="E116" s="37"/>
      <c r="F116" s="31"/>
      <c r="G116" s="31"/>
      <c r="H116" s="30"/>
      <c r="I116" s="29"/>
    </row>
    <row r="117" spans="3:9" x14ac:dyDescent="0.4">
      <c r="C117" s="154"/>
      <c r="D117" s="37"/>
      <c r="E117" s="37"/>
      <c r="F117" s="31"/>
      <c r="G117" s="31"/>
      <c r="H117" s="30"/>
      <c r="I117" s="29"/>
    </row>
    <row r="118" spans="3:9" x14ac:dyDescent="0.4">
      <c r="C118" s="154"/>
      <c r="D118" s="37"/>
      <c r="E118" s="37"/>
      <c r="F118" s="31"/>
      <c r="G118" s="31"/>
      <c r="H118" s="30"/>
      <c r="I118" s="29"/>
    </row>
    <row r="119" spans="3:9" x14ac:dyDescent="0.4">
      <c r="C119" s="154"/>
      <c r="D119" s="37"/>
      <c r="E119" s="37"/>
      <c r="F119" s="31"/>
      <c r="G119" s="31"/>
      <c r="H119" s="30"/>
      <c r="I119" s="29"/>
    </row>
    <row r="120" spans="3:9" x14ac:dyDescent="0.4">
      <c r="C120" s="154"/>
      <c r="D120" s="37"/>
      <c r="E120" s="37"/>
      <c r="F120" s="31"/>
      <c r="G120" s="31"/>
      <c r="H120" s="30"/>
      <c r="I120" s="29"/>
    </row>
    <row r="121" spans="3:9" x14ac:dyDescent="0.4">
      <c r="C121" s="154"/>
      <c r="D121" s="37"/>
      <c r="E121" s="37"/>
      <c r="F121" s="31"/>
      <c r="G121" s="31"/>
      <c r="H121" s="30"/>
      <c r="I121" s="29"/>
    </row>
    <row r="122" spans="3:9" x14ac:dyDescent="0.4">
      <c r="C122" s="154"/>
      <c r="D122" s="37"/>
      <c r="E122" s="37"/>
      <c r="F122" s="31"/>
      <c r="G122" s="31"/>
      <c r="H122" s="30"/>
      <c r="I122" s="29"/>
    </row>
    <row r="123" spans="3:9" x14ac:dyDescent="0.4">
      <c r="C123" s="154"/>
      <c r="D123" s="37"/>
      <c r="E123" s="37"/>
      <c r="F123" s="31"/>
      <c r="G123" s="31"/>
      <c r="H123" s="30"/>
      <c r="I123" s="29"/>
    </row>
    <row r="124" spans="3:9" x14ac:dyDescent="0.4">
      <c r="C124" s="154"/>
      <c r="D124" s="37"/>
      <c r="E124" s="37"/>
      <c r="F124" s="31"/>
      <c r="G124" s="31"/>
      <c r="H124" s="30"/>
      <c r="I124" s="29"/>
    </row>
    <row r="125" spans="3:9" x14ac:dyDescent="0.4">
      <c r="C125" s="154"/>
      <c r="D125" s="37"/>
      <c r="E125" s="37"/>
      <c r="F125" s="31"/>
      <c r="G125" s="31"/>
      <c r="H125" s="30"/>
      <c r="I125" s="29"/>
    </row>
    <row r="126" spans="3:9" x14ac:dyDescent="0.4">
      <c r="C126" s="154"/>
      <c r="D126" s="37"/>
      <c r="E126" s="37"/>
      <c r="F126" s="31"/>
      <c r="G126" s="31"/>
      <c r="H126" s="30"/>
      <c r="I126" s="29"/>
    </row>
    <row r="127" spans="3:9" x14ac:dyDescent="0.4">
      <c r="C127" s="154"/>
      <c r="D127" s="37"/>
      <c r="E127" s="37"/>
      <c r="F127" s="31"/>
      <c r="G127" s="31"/>
      <c r="H127" s="30"/>
      <c r="I127" s="29"/>
    </row>
    <row r="128" spans="3:9" x14ac:dyDescent="0.4">
      <c r="C128" s="154"/>
      <c r="D128" s="37"/>
      <c r="E128" s="37"/>
      <c r="F128" s="31"/>
      <c r="G128" s="31"/>
      <c r="H128" s="30"/>
      <c r="I128" s="29"/>
    </row>
    <row r="129" spans="3:9" x14ac:dyDescent="0.4">
      <c r="C129" s="154"/>
      <c r="D129" s="37"/>
      <c r="E129" s="37"/>
      <c r="F129" s="31"/>
      <c r="G129" s="31"/>
      <c r="H129" s="30"/>
      <c r="I129" s="29"/>
    </row>
    <row r="130" spans="3:9" x14ac:dyDescent="0.4">
      <c r="C130" s="154"/>
      <c r="D130" s="37"/>
      <c r="E130" s="37"/>
      <c r="F130" s="31"/>
      <c r="G130" s="31"/>
      <c r="H130" s="30"/>
      <c r="I130" s="29"/>
    </row>
    <row r="131" spans="3:9" x14ac:dyDescent="0.4">
      <c r="C131" s="154"/>
      <c r="D131" s="37"/>
      <c r="E131" s="37"/>
      <c r="F131" s="31"/>
      <c r="G131" s="31"/>
      <c r="H131" s="30"/>
      <c r="I131" s="29"/>
    </row>
    <row r="132" spans="3:9" x14ac:dyDescent="0.4">
      <c r="C132" s="154"/>
      <c r="D132" s="37"/>
      <c r="E132" s="37"/>
      <c r="F132" s="31"/>
      <c r="G132" s="31"/>
      <c r="H132" s="30"/>
      <c r="I132" s="29"/>
    </row>
    <row r="133" spans="3:9" x14ac:dyDescent="0.4">
      <c r="C133" s="154"/>
      <c r="D133" s="37"/>
      <c r="E133" s="37"/>
      <c r="F133" s="31"/>
      <c r="G133" s="31"/>
      <c r="H133" s="30"/>
      <c r="I133" s="29"/>
    </row>
    <row r="134" spans="3:9" x14ac:dyDescent="0.4">
      <c r="C134" s="154"/>
      <c r="D134" s="37"/>
      <c r="E134" s="37"/>
      <c r="F134" s="31"/>
      <c r="G134" s="31"/>
      <c r="H134" s="30"/>
      <c r="I134" s="29"/>
    </row>
    <row r="135" spans="3:9" x14ac:dyDescent="0.4">
      <c r="C135" s="154"/>
      <c r="D135" s="37"/>
      <c r="E135" s="37"/>
      <c r="F135" s="31"/>
      <c r="G135" s="31"/>
      <c r="H135" s="30"/>
      <c r="I135" s="29"/>
    </row>
    <row r="136" spans="3:9" x14ac:dyDescent="0.4">
      <c r="C136" s="154"/>
      <c r="D136" s="37"/>
      <c r="E136" s="37"/>
      <c r="F136" s="31"/>
      <c r="G136" s="31"/>
      <c r="H136" s="30"/>
      <c r="I136" s="29"/>
    </row>
    <row r="137" spans="3:9" x14ac:dyDescent="0.4">
      <c r="C137" s="154"/>
      <c r="D137" s="37"/>
      <c r="E137" s="37"/>
      <c r="F137" s="31"/>
      <c r="G137" s="31"/>
      <c r="H137" s="30"/>
      <c r="I137" s="29"/>
    </row>
    <row r="138" spans="3:9" x14ac:dyDescent="0.4">
      <c r="C138" s="154"/>
      <c r="D138" s="37"/>
      <c r="E138" s="37"/>
      <c r="F138" s="31"/>
      <c r="G138" s="31"/>
      <c r="H138" s="30"/>
      <c r="I138" s="29"/>
    </row>
    <row r="139" spans="3:9" x14ac:dyDescent="0.4">
      <c r="C139" s="154"/>
      <c r="D139" s="37"/>
      <c r="E139" s="37"/>
      <c r="F139" s="31"/>
      <c r="G139" s="31"/>
      <c r="H139" s="30"/>
      <c r="I139" s="29"/>
    </row>
    <row r="140" spans="3:9" x14ac:dyDescent="0.4">
      <c r="C140" s="154"/>
      <c r="D140" s="37"/>
      <c r="E140" s="37"/>
      <c r="F140" s="31"/>
      <c r="G140" s="31"/>
      <c r="H140" s="30"/>
      <c r="I140" s="29"/>
    </row>
    <row r="141" spans="3:9" x14ac:dyDescent="0.4">
      <c r="C141" s="154"/>
      <c r="D141" s="37"/>
      <c r="E141" s="37"/>
      <c r="F141" s="31"/>
      <c r="G141" s="31"/>
      <c r="H141" s="30"/>
      <c r="I141" s="29"/>
    </row>
    <row r="142" spans="3:9" x14ac:dyDescent="0.4">
      <c r="C142" s="154"/>
      <c r="D142" s="37"/>
      <c r="E142" s="37"/>
      <c r="F142" s="31"/>
      <c r="G142" s="31"/>
      <c r="H142" s="30"/>
      <c r="I142" s="29"/>
    </row>
    <row r="143" spans="3:9" x14ac:dyDescent="0.4">
      <c r="C143" s="154"/>
      <c r="D143" s="37"/>
      <c r="E143" s="37"/>
      <c r="F143" s="31"/>
      <c r="G143" s="31"/>
      <c r="H143" s="30"/>
      <c r="I143" s="29"/>
    </row>
    <row r="144" spans="3:9" x14ac:dyDescent="0.4">
      <c r="C144" s="154"/>
      <c r="D144" s="37"/>
      <c r="E144" s="37"/>
      <c r="F144" s="31"/>
      <c r="G144" s="31"/>
      <c r="H144" s="30"/>
      <c r="I144" s="29"/>
    </row>
    <row r="145" spans="3:9" x14ac:dyDescent="0.4">
      <c r="C145" s="154"/>
      <c r="D145" s="37"/>
      <c r="E145" s="37"/>
      <c r="F145" s="31"/>
      <c r="G145" s="31"/>
      <c r="H145" s="30"/>
      <c r="I145" s="29"/>
    </row>
    <row r="146" spans="3:9" x14ac:dyDescent="0.4">
      <c r="C146" s="154"/>
      <c r="D146" s="37"/>
      <c r="E146" s="37"/>
      <c r="F146" s="31"/>
      <c r="G146" s="31"/>
      <c r="H146" s="30"/>
      <c r="I146" s="29"/>
    </row>
    <row r="147" spans="3:9" x14ac:dyDescent="0.4">
      <c r="C147" s="154"/>
      <c r="D147" s="37"/>
      <c r="E147" s="37"/>
      <c r="F147" s="31"/>
      <c r="G147" s="31"/>
      <c r="H147" s="30"/>
      <c r="I147" s="29"/>
    </row>
    <row r="148" spans="3:9" x14ac:dyDescent="0.4">
      <c r="C148" s="154"/>
      <c r="D148" s="37"/>
      <c r="E148" s="37"/>
      <c r="F148" s="31"/>
      <c r="G148" s="31"/>
      <c r="H148" s="30"/>
      <c r="I148" s="29"/>
    </row>
    <row r="149" spans="3:9" x14ac:dyDescent="0.4">
      <c r="C149" s="154"/>
      <c r="D149" s="37"/>
      <c r="E149" s="37"/>
      <c r="F149" s="31"/>
      <c r="G149" s="31"/>
      <c r="H149" s="30"/>
      <c r="I149" s="29"/>
    </row>
    <row r="150" spans="3:9" x14ac:dyDescent="0.4">
      <c r="C150" s="154"/>
      <c r="D150" s="37"/>
      <c r="E150" s="37"/>
      <c r="F150" s="31"/>
      <c r="G150" s="31"/>
      <c r="H150" s="30"/>
      <c r="I150" s="29"/>
    </row>
    <row r="151" spans="3:9" x14ac:dyDescent="0.4">
      <c r="C151" s="154"/>
      <c r="D151" s="37"/>
      <c r="E151" s="37"/>
      <c r="F151" s="31"/>
      <c r="G151" s="31"/>
      <c r="H151" s="30"/>
      <c r="I151" s="29"/>
    </row>
    <row r="152" spans="3:9" x14ac:dyDescent="0.4">
      <c r="C152" s="154"/>
      <c r="D152" s="37"/>
      <c r="E152" s="37"/>
      <c r="F152" s="31"/>
      <c r="G152" s="31"/>
      <c r="H152" s="30"/>
      <c r="I152" s="29"/>
    </row>
    <row r="153" spans="3:9" x14ac:dyDescent="0.4">
      <c r="C153" s="154"/>
      <c r="D153" s="37"/>
      <c r="E153" s="37"/>
      <c r="F153" s="31"/>
      <c r="G153" s="31"/>
      <c r="H153" s="30"/>
      <c r="I153" s="29"/>
    </row>
    <row r="154" spans="3:9" x14ac:dyDescent="0.4">
      <c r="C154" s="154"/>
      <c r="D154" s="37"/>
      <c r="E154" s="37"/>
      <c r="F154" s="31"/>
      <c r="G154" s="31"/>
      <c r="H154" s="30"/>
      <c r="I154" s="29"/>
    </row>
    <row r="155" spans="3:9" x14ac:dyDescent="0.4">
      <c r="C155" s="154"/>
      <c r="D155" s="37"/>
      <c r="E155" s="37"/>
      <c r="F155" s="31"/>
      <c r="G155" s="31"/>
      <c r="H155" s="30"/>
      <c r="I155" s="29"/>
    </row>
    <row r="156" spans="3:9" x14ac:dyDescent="0.4">
      <c r="C156" s="154"/>
      <c r="D156" s="37"/>
      <c r="E156" s="37"/>
      <c r="F156" s="31"/>
      <c r="G156" s="31"/>
      <c r="H156" s="30"/>
      <c r="I156" s="29"/>
    </row>
    <row r="157" spans="3:9" x14ac:dyDescent="0.4">
      <c r="C157" s="154"/>
      <c r="D157" s="37"/>
      <c r="E157" s="37"/>
      <c r="F157" s="31"/>
      <c r="G157" s="31"/>
      <c r="H157" s="30"/>
      <c r="I157" s="29"/>
    </row>
    <row r="158" spans="3:9" x14ac:dyDescent="0.4">
      <c r="C158" s="154"/>
      <c r="D158" s="37"/>
      <c r="E158" s="37"/>
      <c r="F158" s="31"/>
      <c r="G158" s="31"/>
      <c r="H158" s="30"/>
      <c r="I158" s="29"/>
    </row>
    <row r="159" spans="3:9" x14ac:dyDescent="0.4">
      <c r="C159" s="154"/>
      <c r="D159" s="37"/>
      <c r="E159" s="37"/>
      <c r="F159" s="31"/>
      <c r="G159" s="31"/>
      <c r="H159" s="30"/>
      <c r="I159" s="29"/>
    </row>
    <row r="160" spans="3:9" x14ac:dyDescent="0.4">
      <c r="C160" s="154"/>
      <c r="D160" s="37"/>
      <c r="E160" s="37"/>
      <c r="F160" s="31"/>
      <c r="G160" s="31"/>
      <c r="H160" s="30"/>
      <c r="I160" s="29"/>
    </row>
    <row r="161" spans="3:9" x14ac:dyDescent="0.4">
      <c r="C161" s="154"/>
      <c r="D161" s="37"/>
      <c r="E161" s="37"/>
      <c r="F161" s="31"/>
      <c r="G161" s="31"/>
      <c r="H161" s="30"/>
      <c r="I161" s="29"/>
    </row>
    <row r="162" spans="3:9" x14ac:dyDescent="0.4">
      <c r="C162" s="154"/>
      <c r="D162" s="37"/>
      <c r="E162" s="37"/>
      <c r="F162" s="31"/>
      <c r="G162" s="31"/>
      <c r="H162" s="30"/>
      <c r="I162" s="29"/>
    </row>
    <row r="163" spans="3:9" x14ac:dyDescent="0.4">
      <c r="C163" s="154"/>
      <c r="D163" s="37"/>
      <c r="E163" s="37"/>
      <c r="F163" s="31"/>
      <c r="G163" s="31"/>
      <c r="H163" s="30"/>
      <c r="I163" s="29"/>
    </row>
    <row r="164" spans="3:9" x14ac:dyDescent="0.4">
      <c r="C164" s="154"/>
      <c r="D164" s="37"/>
      <c r="E164" s="37"/>
      <c r="F164" s="31"/>
      <c r="G164" s="31"/>
      <c r="H164" s="30"/>
      <c r="I164" s="29"/>
    </row>
    <row r="165" spans="3:9" x14ac:dyDescent="0.4">
      <c r="C165" s="154"/>
      <c r="D165" s="37"/>
      <c r="E165" s="37"/>
      <c r="F165" s="31"/>
      <c r="G165" s="31"/>
      <c r="H165" s="30"/>
      <c r="I165" s="29"/>
    </row>
    <row r="166" spans="3:9" x14ac:dyDescent="0.4">
      <c r="C166" s="154"/>
      <c r="D166" s="37"/>
      <c r="E166" s="37"/>
      <c r="F166" s="31"/>
      <c r="G166" s="31"/>
      <c r="H166" s="30"/>
      <c r="I166" s="29"/>
    </row>
    <row r="167" spans="3:9" x14ac:dyDescent="0.4">
      <c r="C167" s="154"/>
      <c r="D167" s="37"/>
      <c r="E167" s="37"/>
      <c r="F167" s="31"/>
      <c r="G167" s="31"/>
      <c r="H167" s="30"/>
      <c r="I167" s="29"/>
    </row>
    <row r="168" spans="3:9" x14ac:dyDescent="0.4">
      <c r="C168" s="154"/>
      <c r="D168" s="37"/>
      <c r="E168" s="37"/>
      <c r="F168" s="31"/>
      <c r="G168" s="31"/>
      <c r="H168" s="30"/>
      <c r="I168" s="29"/>
    </row>
    <row r="169" spans="3:9" x14ac:dyDescent="0.4">
      <c r="C169" s="154"/>
      <c r="D169" s="37"/>
      <c r="E169" s="37"/>
      <c r="F169" s="31"/>
      <c r="G169" s="31"/>
      <c r="H169" s="30"/>
      <c r="I169" s="29"/>
    </row>
    <row r="170" spans="3:9" x14ac:dyDescent="0.4">
      <c r="C170" s="154"/>
      <c r="D170" s="37"/>
      <c r="E170" s="37"/>
      <c r="F170" s="31"/>
      <c r="G170" s="31"/>
      <c r="H170" s="30"/>
      <c r="I170" s="29"/>
    </row>
    <row r="171" spans="3:9" x14ac:dyDescent="0.4">
      <c r="C171" s="154"/>
      <c r="D171" s="37"/>
      <c r="E171" s="37"/>
      <c r="F171" s="31"/>
      <c r="G171" s="31"/>
      <c r="H171" s="30"/>
      <c r="I171" s="29"/>
    </row>
    <row r="172" spans="3:9" x14ac:dyDescent="0.4">
      <c r="C172" s="154"/>
      <c r="D172" s="37"/>
      <c r="E172" s="37"/>
      <c r="F172" s="31"/>
      <c r="G172" s="31"/>
      <c r="H172" s="30"/>
      <c r="I172" s="29"/>
    </row>
    <row r="173" spans="3:9" x14ac:dyDescent="0.4">
      <c r="C173" s="154"/>
      <c r="D173" s="37"/>
      <c r="E173" s="37"/>
      <c r="F173" s="31"/>
      <c r="G173" s="31"/>
      <c r="H173" s="30"/>
      <c r="I173" s="29"/>
    </row>
    <row r="174" spans="3:9" x14ac:dyDescent="0.4">
      <c r="C174" s="154"/>
      <c r="D174" s="37"/>
      <c r="E174" s="37"/>
      <c r="F174" s="31"/>
      <c r="G174" s="31"/>
      <c r="H174" s="30"/>
      <c r="I174" s="29"/>
    </row>
    <row r="175" spans="3:9" x14ac:dyDescent="0.4">
      <c r="C175" s="154"/>
      <c r="D175" s="37"/>
      <c r="E175" s="37"/>
      <c r="F175" s="31"/>
      <c r="G175" s="31"/>
      <c r="H175" s="30"/>
      <c r="I175" s="29"/>
    </row>
    <row r="176" spans="3:9" x14ac:dyDescent="0.4">
      <c r="C176" s="154"/>
      <c r="D176" s="37"/>
      <c r="E176" s="37"/>
      <c r="F176" s="31"/>
      <c r="G176" s="31"/>
      <c r="H176" s="30"/>
      <c r="I176" s="29"/>
    </row>
    <row r="177" spans="3:9" x14ac:dyDescent="0.4">
      <c r="C177" s="154"/>
      <c r="D177" s="37"/>
      <c r="E177" s="37"/>
      <c r="F177" s="31"/>
      <c r="G177" s="31"/>
      <c r="H177" s="30"/>
      <c r="I177" s="29"/>
    </row>
    <row r="178" spans="3:9" x14ac:dyDescent="0.4">
      <c r="C178" s="154"/>
      <c r="D178" s="37"/>
      <c r="E178" s="37"/>
      <c r="F178" s="31"/>
      <c r="G178" s="31"/>
      <c r="H178" s="30"/>
      <c r="I178" s="29"/>
    </row>
    <row r="179" spans="3:9" x14ac:dyDescent="0.4">
      <c r="C179" s="154"/>
      <c r="D179" s="37"/>
      <c r="E179" s="37"/>
      <c r="F179" s="31"/>
      <c r="G179" s="31"/>
      <c r="H179" s="30"/>
      <c r="I179" s="29"/>
    </row>
    <row r="180" spans="3:9" x14ac:dyDescent="0.4">
      <c r="C180" s="154"/>
      <c r="D180" s="37"/>
      <c r="E180" s="37"/>
      <c r="F180" s="31"/>
      <c r="G180" s="31"/>
      <c r="H180" s="30"/>
      <c r="I180" s="29"/>
    </row>
    <row r="181" spans="3:9" x14ac:dyDescent="0.4">
      <c r="C181" s="154"/>
      <c r="D181" s="37"/>
      <c r="E181" s="37"/>
      <c r="F181" s="31"/>
      <c r="G181" s="31"/>
      <c r="H181" s="30"/>
      <c r="I181" s="29"/>
    </row>
    <row r="182" spans="3:9" x14ac:dyDescent="0.4">
      <c r="C182" s="154"/>
      <c r="D182" s="37"/>
      <c r="E182" s="37"/>
      <c r="F182" s="31"/>
      <c r="G182" s="31"/>
      <c r="H182" s="30"/>
      <c r="I182" s="29"/>
    </row>
    <row r="183" spans="3:9" x14ac:dyDescent="0.4">
      <c r="C183" s="154"/>
      <c r="D183" s="37"/>
      <c r="E183" s="37"/>
      <c r="F183" s="31"/>
      <c r="G183" s="31"/>
      <c r="H183" s="30"/>
      <c r="I183" s="29"/>
    </row>
    <row r="184" spans="3:9" x14ac:dyDescent="0.4">
      <c r="C184" s="154"/>
      <c r="D184" s="37"/>
      <c r="E184" s="37"/>
      <c r="F184" s="31"/>
      <c r="G184" s="31"/>
      <c r="H184" s="30"/>
      <c r="I184" s="29"/>
    </row>
    <row r="185" spans="3:9" x14ac:dyDescent="0.4">
      <c r="C185" s="154"/>
      <c r="D185" s="37"/>
      <c r="E185" s="37"/>
      <c r="F185" s="31"/>
      <c r="G185" s="31"/>
      <c r="H185" s="30"/>
      <c r="I185" s="29"/>
    </row>
    <row r="186" spans="3:9" x14ac:dyDescent="0.4">
      <c r="C186" s="154"/>
      <c r="D186" s="37"/>
      <c r="E186" s="37"/>
      <c r="F186" s="31"/>
      <c r="G186" s="31"/>
      <c r="H186" s="30"/>
      <c r="I186" s="29"/>
    </row>
    <row r="187" spans="3:9" x14ac:dyDescent="0.4">
      <c r="C187" s="154"/>
      <c r="D187" s="37"/>
      <c r="E187" s="37"/>
      <c r="F187" s="31"/>
      <c r="G187" s="31"/>
      <c r="H187" s="30"/>
      <c r="I187" s="29"/>
    </row>
    <row r="188" spans="3:9" x14ac:dyDescent="0.4">
      <c r="C188" s="154"/>
      <c r="D188" s="37"/>
      <c r="E188" s="37"/>
      <c r="F188" s="31"/>
      <c r="G188" s="31"/>
      <c r="H188" s="30"/>
      <c r="I188" s="29"/>
    </row>
    <row r="189" spans="3:9" x14ac:dyDescent="0.4">
      <c r="C189" s="154"/>
      <c r="D189" s="37"/>
      <c r="E189" s="37"/>
      <c r="F189" s="31"/>
      <c r="G189" s="31"/>
      <c r="H189" s="30"/>
      <c r="I189" s="29"/>
    </row>
    <row r="190" spans="3:9" x14ac:dyDescent="0.4">
      <c r="C190" s="154"/>
      <c r="D190" s="37"/>
      <c r="E190" s="37"/>
      <c r="F190" s="31"/>
      <c r="G190" s="31"/>
      <c r="H190" s="30"/>
      <c r="I190" s="29"/>
    </row>
    <row r="191" spans="3:9" x14ac:dyDescent="0.4">
      <c r="C191" s="154"/>
      <c r="D191" s="37"/>
      <c r="E191" s="37"/>
      <c r="F191" s="31"/>
      <c r="G191" s="31"/>
      <c r="H191" s="30"/>
      <c r="I191" s="29"/>
    </row>
    <row r="192" spans="3:9" x14ac:dyDescent="0.4">
      <c r="C192" s="154"/>
      <c r="D192" s="37"/>
      <c r="E192" s="37"/>
      <c r="F192" s="31"/>
      <c r="G192" s="31"/>
      <c r="H192" s="30"/>
      <c r="I192" s="29"/>
    </row>
    <row r="193" spans="3:9" x14ac:dyDescent="0.4">
      <c r="C193" s="154"/>
      <c r="D193" s="37"/>
      <c r="E193" s="37"/>
      <c r="F193" s="31"/>
      <c r="G193" s="31"/>
      <c r="H193" s="30"/>
      <c r="I193" s="29"/>
    </row>
    <row r="194" spans="3:9" x14ac:dyDescent="0.4">
      <c r="C194" s="154"/>
      <c r="D194" s="37"/>
      <c r="E194" s="37"/>
      <c r="F194" s="31"/>
      <c r="G194" s="31"/>
      <c r="H194" s="30"/>
      <c r="I194" s="29"/>
    </row>
    <row r="195" spans="3:9" x14ac:dyDescent="0.4">
      <c r="C195" s="154"/>
      <c r="D195" s="37"/>
      <c r="E195" s="37"/>
      <c r="F195" s="31"/>
      <c r="G195" s="31"/>
      <c r="H195" s="30"/>
      <c r="I195" s="29"/>
    </row>
    <row r="196" spans="3:9" x14ac:dyDescent="0.4">
      <c r="C196" s="154"/>
      <c r="D196" s="37"/>
      <c r="E196" s="37"/>
      <c r="F196" s="31"/>
      <c r="G196" s="31"/>
      <c r="H196" s="30"/>
      <c r="I196" s="29"/>
    </row>
    <row r="197" spans="3:9" x14ac:dyDescent="0.4">
      <c r="C197" s="154"/>
      <c r="D197" s="37"/>
      <c r="E197" s="37"/>
      <c r="F197" s="31"/>
      <c r="G197" s="31"/>
      <c r="H197" s="30"/>
      <c r="I197" s="29"/>
    </row>
    <row r="198" spans="3:9" x14ac:dyDescent="0.4">
      <c r="C198" s="154"/>
      <c r="D198" s="37"/>
      <c r="E198" s="37"/>
      <c r="F198" s="31"/>
      <c r="G198" s="31"/>
      <c r="H198" s="30"/>
      <c r="I198" s="29"/>
    </row>
    <row r="199" spans="3:9" x14ac:dyDescent="0.4">
      <c r="C199" s="154"/>
      <c r="D199" s="37"/>
      <c r="E199" s="37"/>
      <c r="F199" s="31"/>
      <c r="G199" s="31"/>
      <c r="H199" s="30"/>
      <c r="I199" s="29"/>
    </row>
    <row r="200" spans="3:9" x14ac:dyDescent="0.4">
      <c r="C200" s="154"/>
      <c r="D200" s="37"/>
      <c r="E200" s="37"/>
      <c r="F200" s="31"/>
      <c r="G200" s="31"/>
      <c r="H200" s="30"/>
      <c r="I200" s="29"/>
    </row>
    <row r="201" spans="3:9" x14ac:dyDescent="0.4">
      <c r="C201" s="154"/>
      <c r="D201" s="37"/>
      <c r="E201" s="37"/>
      <c r="F201" s="31"/>
      <c r="G201" s="31"/>
      <c r="H201" s="30"/>
      <c r="I201" s="29"/>
    </row>
    <row r="202" spans="3:9" x14ac:dyDescent="0.4">
      <c r="C202" s="154"/>
      <c r="D202" s="37"/>
      <c r="E202" s="37"/>
      <c r="F202" s="31"/>
      <c r="G202" s="31"/>
      <c r="H202" s="30"/>
      <c r="I202" s="29"/>
    </row>
    <row r="203" spans="3:9" x14ac:dyDescent="0.4">
      <c r="C203" s="154"/>
      <c r="D203" s="37"/>
      <c r="E203" s="37"/>
      <c r="F203" s="31"/>
      <c r="G203" s="31"/>
      <c r="H203" s="30"/>
      <c r="I203" s="29"/>
    </row>
    <row r="204" spans="3:9" x14ac:dyDescent="0.4">
      <c r="C204" s="154"/>
      <c r="D204" s="37"/>
      <c r="E204" s="37"/>
      <c r="F204" s="31"/>
      <c r="G204" s="31"/>
      <c r="H204" s="30"/>
      <c r="I204" s="29"/>
    </row>
    <row r="205" spans="3:9" x14ac:dyDescent="0.4">
      <c r="C205" s="154"/>
      <c r="D205" s="37"/>
      <c r="E205" s="37"/>
      <c r="F205" s="31"/>
      <c r="G205" s="31"/>
      <c r="H205" s="30"/>
      <c r="I205" s="29"/>
    </row>
    <row r="206" spans="3:9" x14ac:dyDescent="0.4">
      <c r="C206" s="154"/>
      <c r="D206" s="37"/>
      <c r="E206" s="37"/>
      <c r="F206" s="31"/>
      <c r="G206" s="31"/>
      <c r="H206" s="30"/>
      <c r="I206" s="29"/>
    </row>
    <row r="207" spans="3:9" x14ac:dyDescent="0.4">
      <c r="C207" s="154"/>
      <c r="D207" s="37"/>
      <c r="E207" s="37"/>
      <c r="F207" s="31"/>
      <c r="G207" s="31"/>
      <c r="H207" s="30"/>
      <c r="I207" s="29"/>
    </row>
    <row r="208" spans="3:9" x14ac:dyDescent="0.4">
      <c r="C208" s="154"/>
      <c r="D208" s="37"/>
      <c r="E208" s="37"/>
      <c r="F208" s="31"/>
      <c r="G208" s="31"/>
      <c r="H208" s="30"/>
      <c r="I208" s="29"/>
    </row>
    <row r="209" spans="3:9" x14ac:dyDescent="0.4">
      <c r="C209" s="154"/>
      <c r="D209" s="37"/>
      <c r="E209" s="37"/>
      <c r="F209" s="31"/>
      <c r="G209" s="31"/>
      <c r="H209" s="30"/>
      <c r="I209" s="29"/>
    </row>
    <row r="210" spans="3:9" x14ac:dyDescent="0.4">
      <c r="C210" s="154"/>
      <c r="D210" s="37"/>
      <c r="E210" s="37"/>
      <c r="F210" s="31"/>
      <c r="G210" s="31"/>
      <c r="H210" s="30"/>
      <c r="I210" s="29"/>
    </row>
    <row r="211" spans="3:9" x14ac:dyDescent="0.4">
      <c r="C211" s="154"/>
      <c r="D211" s="37"/>
      <c r="E211" s="37"/>
      <c r="F211" s="31"/>
      <c r="G211" s="31"/>
      <c r="H211" s="30"/>
      <c r="I211" s="29"/>
    </row>
    <row r="212" spans="3:9" x14ac:dyDescent="0.4">
      <c r="C212" s="154"/>
      <c r="D212" s="37"/>
      <c r="E212" s="37"/>
      <c r="F212" s="31"/>
      <c r="G212" s="31"/>
      <c r="H212" s="30"/>
      <c r="I212" s="29"/>
    </row>
    <row r="213" spans="3:9" x14ac:dyDescent="0.4">
      <c r="C213" s="154"/>
      <c r="D213" s="37"/>
      <c r="E213" s="37"/>
      <c r="F213" s="31"/>
      <c r="G213" s="31"/>
      <c r="H213" s="30"/>
      <c r="I213" s="29"/>
    </row>
    <row r="214" spans="3:9" x14ac:dyDescent="0.4">
      <c r="C214" s="154"/>
      <c r="D214" s="37"/>
      <c r="E214" s="37"/>
      <c r="F214" s="31"/>
      <c r="G214" s="31"/>
      <c r="H214" s="30"/>
      <c r="I214" s="29"/>
    </row>
    <row r="215" spans="3:9" x14ac:dyDescent="0.4">
      <c r="C215" s="154"/>
      <c r="D215" s="37"/>
      <c r="E215" s="37"/>
      <c r="F215" s="31"/>
      <c r="G215" s="31"/>
      <c r="H215" s="30"/>
      <c r="I215" s="29"/>
    </row>
    <row r="216" spans="3:9" x14ac:dyDescent="0.4">
      <c r="C216" s="154"/>
      <c r="D216" s="37"/>
      <c r="E216" s="37"/>
      <c r="F216" s="31"/>
      <c r="G216" s="31"/>
      <c r="H216" s="30"/>
      <c r="I216" s="29"/>
    </row>
    <row r="217" spans="3:9" x14ac:dyDescent="0.4">
      <c r="C217" s="154"/>
      <c r="D217" s="37"/>
      <c r="E217" s="37"/>
      <c r="F217" s="31"/>
      <c r="G217" s="31"/>
      <c r="H217" s="30"/>
      <c r="I217" s="29"/>
    </row>
    <row r="218" spans="3:9" x14ac:dyDescent="0.4">
      <c r="C218" s="154"/>
      <c r="D218" s="37"/>
      <c r="E218" s="37"/>
      <c r="F218" s="31"/>
      <c r="G218" s="31"/>
      <c r="H218" s="30"/>
      <c r="I218" s="29"/>
    </row>
    <row r="219" spans="3:9" x14ac:dyDescent="0.4">
      <c r="C219" s="154"/>
      <c r="D219" s="37"/>
      <c r="E219" s="37"/>
      <c r="F219" s="31"/>
      <c r="G219" s="31"/>
      <c r="H219" s="30"/>
      <c r="I219" s="29"/>
    </row>
    <row r="220" spans="3:9" x14ac:dyDescent="0.4">
      <c r="C220" s="154"/>
      <c r="D220" s="37"/>
      <c r="E220" s="37"/>
      <c r="F220" s="31"/>
      <c r="G220" s="31"/>
      <c r="H220" s="30"/>
      <c r="I220" s="29"/>
    </row>
    <row r="221" spans="3:9" x14ac:dyDescent="0.4">
      <c r="C221" s="154"/>
      <c r="D221" s="37"/>
      <c r="E221" s="37"/>
      <c r="F221" s="31"/>
      <c r="G221" s="31"/>
      <c r="H221" s="30"/>
      <c r="I221" s="29"/>
    </row>
    <row r="222" spans="3:9" x14ac:dyDescent="0.4">
      <c r="C222" s="154"/>
      <c r="D222" s="37"/>
      <c r="E222" s="37"/>
      <c r="F222" s="31"/>
      <c r="G222" s="31"/>
      <c r="H222" s="30"/>
      <c r="I222" s="29"/>
    </row>
    <row r="223" spans="3:9" x14ac:dyDescent="0.4">
      <c r="C223" s="154"/>
      <c r="D223" s="37"/>
      <c r="E223" s="37"/>
      <c r="F223" s="31"/>
      <c r="G223" s="31"/>
      <c r="H223" s="30"/>
      <c r="I223" s="29"/>
    </row>
    <row r="224" spans="3:9" x14ac:dyDescent="0.4">
      <c r="C224" s="154"/>
      <c r="D224" s="37"/>
      <c r="E224" s="37"/>
      <c r="F224" s="31"/>
      <c r="G224" s="31"/>
      <c r="H224" s="30"/>
      <c r="I224" s="29"/>
    </row>
    <row r="225" spans="3:9" x14ac:dyDescent="0.4">
      <c r="C225" s="154"/>
      <c r="D225" s="37"/>
      <c r="E225" s="37"/>
      <c r="F225" s="31"/>
      <c r="G225" s="31"/>
      <c r="H225" s="30"/>
      <c r="I225" s="29"/>
    </row>
    <row r="226" spans="3:9" x14ac:dyDescent="0.4">
      <c r="C226" s="154"/>
      <c r="D226" s="37"/>
      <c r="E226" s="37"/>
      <c r="F226" s="31"/>
      <c r="G226" s="31"/>
      <c r="H226" s="30"/>
      <c r="I226" s="29"/>
    </row>
    <row r="227" spans="3:9" x14ac:dyDescent="0.4">
      <c r="C227" s="154"/>
      <c r="D227" s="37"/>
      <c r="E227" s="37"/>
      <c r="F227" s="31"/>
      <c r="G227" s="31"/>
      <c r="H227" s="30"/>
      <c r="I227" s="29"/>
    </row>
    <row r="228" spans="3:9" x14ac:dyDescent="0.4">
      <c r="C228" s="154"/>
      <c r="D228" s="37"/>
      <c r="E228" s="37"/>
      <c r="F228" s="31"/>
      <c r="G228" s="31"/>
      <c r="H228" s="30"/>
      <c r="I228" s="29"/>
    </row>
    <row r="229" spans="3:9" x14ac:dyDescent="0.4">
      <c r="C229" s="154"/>
      <c r="D229" s="37"/>
      <c r="E229" s="37"/>
      <c r="F229" s="31"/>
      <c r="G229" s="31"/>
      <c r="H229" s="30"/>
      <c r="I229" s="29"/>
    </row>
    <row r="230" spans="3:9" x14ac:dyDescent="0.4">
      <c r="C230" s="154"/>
      <c r="D230" s="37"/>
      <c r="E230" s="37"/>
      <c r="F230" s="31"/>
      <c r="G230" s="31"/>
      <c r="H230" s="30"/>
      <c r="I230" s="29"/>
    </row>
    <row r="231" spans="3:9" x14ac:dyDescent="0.4">
      <c r="C231" s="154"/>
      <c r="D231" s="37"/>
      <c r="E231" s="37"/>
      <c r="F231" s="31"/>
      <c r="G231" s="31"/>
      <c r="H231" s="30"/>
      <c r="I231" s="29"/>
    </row>
    <row r="232" spans="3:9" x14ac:dyDescent="0.4">
      <c r="C232" s="154"/>
      <c r="D232" s="37"/>
      <c r="E232" s="37"/>
      <c r="F232" s="31"/>
      <c r="G232" s="31"/>
      <c r="H232" s="30"/>
      <c r="I232" s="29"/>
    </row>
    <row r="233" spans="3:9" x14ac:dyDescent="0.4">
      <c r="C233" s="154"/>
      <c r="D233" s="37"/>
      <c r="E233" s="37"/>
      <c r="F233" s="31"/>
      <c r="G233" s="31"/>
      <c r="H233" s="30"/>
      <c r="I233" s="29"/>
    </row>
    <row r="234" spans="3:9" x14ac:dyDescent="0.4">
      <c r="C234" s="154"/>
      <c r="D234" s="37"/>
      <c r="E234" s="37"/>
      <c r="F234" s="31"/>
      <c r="G234" s="31"/>
      <c r="H234" s="30"/>
      <c r="I234" s="29"/>
    </row>
    <row r="235" spans="3:9" x14ac:dyDescent="0.4">
      <c r="C235" s="154"/>
      <c r="D235" s="37"/>
      <c r="E235" s="37"/>
      <c r="F235" s="31"/>
      <c r="G235" s="31"/>
      <c r="H235" s="30"/>
      <c r="I235" s="29"/>
    </row>
    <row r="236" spans="3:9" x14ac:dyDescent="0.4">
      <c r="C236" s="154"/>
      <c r="D236" s="37"/>
      <c r="E236" s="37"/>
      <c r="F236" s="31"/>
      <c r="G236" s="31"/>
      <c r="H236" s="30"/>
      <c r="I236" s="29"/>
    </row>
    <row r="237" spans="3:9" x14ac:dyDescent="0.4">
      <c r="C237" s="154"/>
      <c r="D237" s="37"/>
      <c r="E237" s="37"/>
      <c r="F237" s="31"/>
      <c r="G237" s="31"/>
      <c r="H237" s="30"/>
      <c r="I237" s="29"/>
    </row>
    <row r="238" spans="3:9" x14ac:dyDescent="0.4">
      <c r="C238" s="154"/>
      <c r="D238" s="37"/>
      <c r="E238" s="37"/>
      <c r="F238" s="31"/>
      <c r="G238" s="31"/>
      <c r="H238" s="30"/>
      <c r="I238" s="29"/>
    </row>
    <row r="239" spans="3:9" x14ac:dyDescent="0.4">
      <c r="C239" s="154"/>
      <c r="D239" s="37"/>
      <c r="E239" s="37"/>
      <c r="F239" s="31"/>
      <c r="G239" s="31"/>
      <c r="H239" s="30"/>
      <c r="I239" s="29"/>
    </row>
    <row r="240" spans="3:9" x14ac:dyDescent="0.4">
      <c r="C240" s="154"/>
      <c r="D240" s="37"/>
      <c r="E240" s="37"/>
      <c r="F240" s="31"/>
      <c r="G240" s="31"/>
      <c r="H240" s="30"/>
      <c r="I240" s="29"/>
    </row>
    <row r="241" spans="3:9" x14ac:dyDescent="0.4">
      <c r="C241" s="154"/>
      <c r="D241" s="37"/>
      <c r="E241" s="37"/>
      <c r="F241" s="31"/>
      <c r="G241" s="31"/>
      <c r="H241" s="30"/>
      <c r="I241" s="29"/>
    </row>
    <row r="242" spans="3:9" x14ac:dyDescent="0.4">
      <c r="C242" s="154"/>
      <c r="D242" s="37"/>
      <c r="E242" s="37"/>
      <c r="F242" s="31"/>
      <c r="G242" s="31"/>
      <c r="H242" s="30"/>
      <c r="I242" s="29"/>
    </row>
    <row r="243" spans="3:9" x14ac:dyDescent="0.4">
      <c r="C243" s="154"/>
      <c r="D243" s="37"/>
      <c r="E243" s="37"/>
      <c r="F243" s="31"/>
      <c r="G243" s="31"/>
      <c r="H243" s="30"/>
      <c r="I243" s="29"/>
    </row>
    <row r="244" spans="3:9" x14ac:dyDescent="0.4">
      <c r="C244" s="154"/>
      <c r="D244" s="37"/>
      <c r="E244" s="37"/>
      <c r="F244" s="31"/>
      <c r="G244" s="31"/>
      <c r="H244" s="30"/>
      <c r="I244" s="29"/>
    </row>
    <row r="245" spans="3:9" x14ac:dyDescent="0.4">
      <c r="C245" s="154"/>
      <c r="D245" s="37"/>
      <c r="E245" s="37"/>
      <c r="F245" s="31"/>
      <c r="G245" s="31"/>
      <c r="H245" s="30"/>
      <c r="I245" s="29"/>
    </row>
    <row r="246" spans="3:9" x14ac:dyDescent="0.4">
      <c r="C246" s="154"/>
      <c r="D246" s="37"/>
      <c r="E246" s="37"/>
      <c r="F246" s="31"/>
      <c r="G246" s="31"/>
      <c r="H246" s="30"/>
      <c r="I246" s="29"/>
    </row>
    <row r="247" spans="3:9" x14ac:dyDescent="0.4">
      <c r="C247" s="154"/>
      <c r="D247" s="37"/>
      <c r="E247" s="37"/>
      <c r="F247" s="31"/>
      <c r="G247" s="31"/>
      <c r="H247" s="30"/>
      <c r="I247" s="29"/>
    </row>
    <row r="248" spans="3:9" x14ac:dyDescent="0.4">
      <c r="C248" s="154"/>
      <c r="D248" s="37"/>
      <c r="E248" s="37"/>
      <c r="F248" s="31"/>
      <c r="G248" s="31"/>
      <c r="H248" s="30"/>
      <c r="I248" s="29"/>
    </row>
    <row r="249" spans="3:9" x14ac:dyDescent="0.4">
      <c r="C249" s="154"/>
      <c r="D249" s="37"/>
      <c r="E249" s="37"/>
      <c r="F249" s="31"/>
      <c r="G249" s="31"/>
      <c r="H249" s="30"/>
      <c r="I249" s="29"/>
    </row>
    <row r="250" spans="3:9" x14ac:dyDescent="0.4">
      <c r="C250" s="154"/>
      <c r="D250" s="37"/>
      <c r="E250" s="37"/>
      <c r="F250" s="31"/>
      <c r="G250" s="31"/>
      <c r="H250" s="30"/>
      <c r="I250" s="29"/>
    </row>
    <row r="251" spans="3:9" x14ac:dyDescent="0.4">
      <c r="C251" s="154"/>
      <c r="D251" s="37"/>
      <c r="E251" s="37"/>
      <c r="F251" s="31"/>
      <c r="G251" s="31"/>
      <c r="H251" s="30"/>
      <c r="I251" s="29"/>
    </row>
    <row r="252" spans="3:9" x14ac:dyDescent="0.4">
      <c r="C252" s="154"/>
      <c r="D252" s="37"/>
      <c r="E252" s="37"/>
      <c r="F252" s="31"/>
      <c r="G252" s="31"/>
      <c r="H252" s="30"/>
      <c r="I252" s="29"/>
    </row>
    <row r="253" spans="3:9" x14ac:dyDescent="0.4">
      <c r="C253" s="154"/>
      <c r="D253" s="37"/>
      <c r="E253" s="37"/>
      <c r="F253" s="31"/>
      <c r="G253" s="31"/>
      <c r="H253" s="30"/>
      <c r="I253" s="29"/>
    </row>
    <row r="254" spans="3:9" x14ac:dyDescent="0.4">
      <c r="C254" s="154"/>
      <c r="D254" s="37"/>
      <c r="E254" s="37"/>
      <c r="F254" s="31"/>
      <c r="G254" s="31"/>
      <c r="H254" s="30"/>
      <c r="I254" s="29"/>
    </row>
    <row r="255" spans="3:9" x14ac:dyDescent="0.4">
      <c r="C255" s="154"/>
      <c r="D255" s="37"/>
      <c r="E255" s="37"/>
      <c r="F255" s="31"/>
      <c r="G255" s="31"/>
      <c r="H255" s="30"/>
      <c r="I255" s="29"/>
    </row>
    <row r="256" spans="3:9" x14ac:dyDescent="0.4">
      <c r="C256" s="154"/>
      <c r="D256" s="37"/>
      <c r="E256" s="37"/>
      <c r="F256" s="31"/>
      <c r="G256" s="31"/>
      <c r="H256" s="30"/>
      <c r="I256" s="29"/>
    </row>
    <row r="257" spans="3:9" x14ac:dyDescent="0.4">
      <c r="C257" s="154"/>
      <c r="D257" s="37"/>
      <c r="E257" s="37"/>
      <c r="F257" s="31"/>
      <c r="G257" s="31"/>
      <c r="H257" s="30"/>
      <c r="I257" s="29"/>
    </row>
    <row r="258" spans="3:9" x14ac:dyDescent="0.4">
      <c r="C258" s="154"/>
      <c r="D258" s="37"/>
      <c r="E258" s="37"/>
      <c r="F258" s="31"/>
      <c r="G258" s="31"/>
      <c r="H258" s="30"/>
      <c r="I258" s="29"/>
    </row>
    <row r="259" spans="3:9" x14ac:dyDescent="0.4">
      <c r="C259" s="154"/>
      <c r="D259" s="37"/>
      <c r="E259" s="37"/>
      <c r="F259" s="31"/>
      <c r="G259" s="31"/>
      <c r="H259" s="30"/>
      <c r="I259" s="29"/>
    </row>
    <row r="260" spans="3:9" x14ac:dyDescent="0.4">
      <c r="C260" s="154"/>
      <c r="D260" s="37"/>
      <c r="E260" s="37"/>
      <c r="F260" s="31"/>
      <c r="G260" s="31"/>
      <c r="H260" s="30"/>
      <c r="I260" s="29"/>
    </row>
    <row r="261" spans="3:9" x14ac:dyDescent="0.4">
      <c r="C261" s="154"/>
      <c r="D261" s="37"/>
      <c r="E261" s="37"/>
      <c r="F261" s="31"/>
      <c r="G261" s="31"/>
      <c r="H261" s="30"/>
      <c r="I261" s="29"/>
    </row>
    <row r="262" spans="3:9" x14ac:dyDescent="0.4">
      <c r="C262" s="154"/>
      <c r="D262" s="37"/>
      <c r="E262" s="37"/>
      <c r="F262" s="31"/>
      <c r="G262" s="31"/>
      <c r="H262" s="30"/>
      <c r="I262" s="29"/>
    </row>
    <row r="263" spans="3:9" x14ac:dyDescent="0.4">
      <c r="C263" s="154"/>
      <c r="D263" s="37"/>
      <c r="E263" s="37"/>
      <c r="F263" s="31"/>
      <c r="G263" s="31"/>
      <c r="H263" s="30"/>
      <c r="I263" s="29"/>
    </row>
    <row r="264" spans="3:9" x14ac:dyDescent="0.4">
      <c r="C264" s="154"/>
      <c r="D264" s="37"/>
      <c r="E264" s="37"/>
      <c r="F264" s="31"/>
      <c r="G264" s="31"/>
      <c r="H264" s="30"/>
      <c r="I264" s="29"/>
    </row>
    <row r="265" spans="3:9" x14ac:dyDescent="0.4">
      <c r="C265" s="154"/>
      <c r="D265" s="37"/>
      <c r="E265" s="37"/>
      <c r="F265" s="31"/>
      <c r="G265" s="31"/>
      <c r="H265" s="30"/>
      <c r="I265" s="29"/>
    </row>
    <row r="266" spans="3:9" x14ac:dyDescent="0.4">
      <c r="C266" s="154"/>
      <c r="D266" s="37"/>
      <c r="E266" s="37"/>
      <c r="F266" s="31"/>
      <c r="G266" s="31"/>
      <c r="H266" s="30"/>
      <c r="I266" s="29"/>
    </row>
    <row r="267" spans="3:9" x14ac:dyDescent="0.4">
      <c r="C267" s="154"/>
      <c r="D267" s="37"/>
      <c r="E267" s="37"/>
      <c r="F267" s="31"/>
      <c r="G267" s="31"/>
      <c r="H267" s="30"/>
      <c r="I267" s="29"/>
    </row>
    <row r="268" spans="3:9" x14ac:dyDescent="0.4">
      <c r="C268" s="154"/>
      <c r="D268" s="37"/>
      <c r="E268" s="37"/>
      <c r="F268" s="31"/>
      <c r="G268" s="31"/>
      <c r="H268" s="30"/>
      <c r="I268" s="29"/>
    </row>
    <row r="269" spans="3:9" x14ac:dyDescent="0.4">
      <c r="C269" s="154"/>
      <c r="D269" s="37"/>
      <c r="E269" s="37"/>
      <c r="F269" s="31"/>
      <c r="G269" s="31"/>
      <c r="H269" s="30"/>
      <c r="I269" s="29"/>
    </row>
    <row r="270" spans="3:9" x14ac:dyDescent="0.4">
      <c r="C270" s="154"/>
      <c r="D270" s="37"/>
      <c r="E270" s="37"/>
      <c r="F270" s="31"/>
      <c r="G270" s="31"/>
      <c r="H270" s="30"/>
      <c r="I270" s="29"/>
    </row>
    <row r="271" spans="3:9" x14ac:dyDescent="0.4">
      <c r="C271" s="154"/>
      <c r="D271" s="37"/>
      <c r="E271" s="37"/>
      <c r="F271" s="31"/>
      <c r="G271" s="31"/>
      <c r="H271" s="30"/>
      <c r="I271" s="29"/>
    </row>
    <row r="272" spans="3:9" x14ac:dyDescent="0.4">
      <c r="C272" s="154"/>
      <c r="D272" s="37"/>
      <c r="E272" s="37"/>
      <c r="F272" s="31"/>
      <c r="G272" s="31"/>
      <c r="H272" s="30"/>
      <c r="I272" s="29"/>
    </row>
    <row r="273" spans="3:9" x14ac:dyDescent="0.4">
      <c r="C273" s="154"/>
      <c r="D273" s="37"/>
      <c r="E273" s="37"/>
      <c r="F273" s="31"/>
      <c r="G273" s="31"/>
      <c r="H273" s="30"/>
      <c r="I273" s="29"/>
    </row>
    <row r="274" spans="3:9" x14ac:dyDescent="0.4">
      <c r="C274" s="154"/>
      <c r="D274" s="37"/>
      <c r="E274" s="37"/>
      <c r="F274" s="31"/>
      <c r="G274" s="31"/>
      <c r="H274" s="30"/>
      <c r="I274" s="29"/>
    </row>
    <row r="275" spans="3:9" x14ac:dyDescent="0.4">
      <c r="C275" s="154"/>
      <c r="D275" s="37"/>
      <c r="E275" s="37"/>
      <c r="F275" s="31"/>
      <c r="G275" s="31"/>
      <c r="H275" s="30"/>
      <c r="I275" s="29"/>
    </row>
    <row r="276" spans="3:9" x14ac:dyDescent="0.4">
      <c r="C276" s="154"/>
      <c r="D276" s="37"/>
      <c r="E276" s="37"/>
      <c r="F276" s="31"/>
      <c r="G276" s="31"/>
      <c r="H276" s="30"/>
      <c r="I276" s="29"/>
    </row>
    <row r="277" spans="3:9" x14ac:dyDescent="0.4">
      <c r="C277" s="154"/>
      <c r="D277" s="37"/>
      <c r="E277" s="37"/>
      <c r="F277" s="31"/>
      <c r="G277" s="31"/>
      <c r="H277" s="30"/>
      <c r="I277" s="29"/>
    </row>
    <row r="278" spans="3:9" x14ac:dyDescent="0.4">
      <c r="C278" s="154"/>
      <c r="D278" s="37"/>
      <c r="E278" s="37"/>
      <c r="F278" s="31"/>
      <c r="G278" s="31"/>
      <c r="H278" s="30"/>
      <c r="I278" s="29"/>
    </row>
    <row r="279" spans="3:9" x14ac:dyDescent="0.4">
      <c r="C279" s="154"/>
      <c r="D279" s="37"/>
      <c r="E279" s="37"/>
      <c r="F279" s="31"/>
      <c r="G279" s="31"/>
      <c r="H279" s="30"/>
      <c r="I279" s="29"/>
    </row>
    <row r="280" spans="3:9" x14ac:dyDescent="0.4">
      <c r="C280" s="154"/>
      <c r="D280" s="37"/>
      <c r="E280" s="37"/>
      <c r="F280" s="31"/>
      <c r="G280" s="31"/>
      <c r="H280" s="30"/>
      <c r="I280" s="29"/>
    </row>
    <row r="281" spans="3:9" x14ac:dyDescent="0.4">
      <c r="C281" s="154"/>
      <c r="D281" s="37"/>
      <c r="E281" s="37"/>
      <c r="F281" s="31"/>
      <c r="G281" s="31"/>
      <c r="H281" s="30"/>
      <c r="I281" s="29"/>
    </row>
    <row r="282" spans="3:9" x14ac:dyDescent="0.4">
      <c r="C282" s="154"/>
      <c r="D282" s="37"/>
      <c r="E282" s="37"/>
      <c r="F282" s="31"/>
      <c r="G282" s="31"/>
      <c r="H282" s="30"/>
      <c r="I282" s="29"/>
    </row>
    <row r="283" spans="3:9" x14ac:dyDescent="0.4">
      <c r="C283" s="154"/>
      <c r="D283" s="37"/>
      <c r="E283" s="37"/>
      <c r="F283" s="31"/>
      <c r="G283" s="31"/>
      <c r="H283" s="30"/>
      <c r="I283" s="29"/>
    </row>
    <row r="284" spans="3:9" x14ac:dyDescent="0.4">
      <c r="C284" s="154"/>
      <c r="D284" s="37"/>
      <c r="E284" s="37"/>
      <c r="F284" s="31"/>
      <c r="G284" s="31"/>
      <c r="H284" s="30"/>
      <c r="I284" s="29"/>
    </row>
    <row r="285" spans="3:9" x14ac:dyDescent="0.4">
      <c r="C285" s="154"/>
      <c r="D285" s="37"/>
      <c r="E285" s="37"/>
      <c r="F285" s="31"/>
      <c r="G285" s="31"/>
      <c r="H285" s="30"/>
      <c r="I285" s="29"/>
    </row>
    <row r="286" spans="3:9" x14ac:dyDescent="0.4">
      <c r="C286" s="154"/>
      <c r="D286" s="37"/>
      <c r="E286" s="37"/>
      <c r="F286" s="31"/>
      <c r="G286" s="31"/>
      <c r="H286" s="30"/>
      <c r="I286" s="29"/>
    </row>
    <row r="287" spans="3:9" x14ac:dyDescent="0.4">
      <c r="C287" s="154"/>
      <c r="D287" s="37"/>
      <c r="E287" s="37"/>
      <c r="F287" s="31"/>
      <c r="G287" s="31"/>
      <c r="H287" s="30"/>
      <c r="I287" s="29"/>
    </row>
    <row r="288" spans="3:9" x14ac:dyDescent="0.4">
      <c r="C288" s="154"/>
      <c r="D288" s="37"/>
      <c r="E288" s="37"/>
      <c r="F288" s="31"/>
      <c r="G288" s="31"/>
      <c r="H288" s="30"/>
      <c r="I288" s="29"/>
    </row>
    <row r="289" spans="3:9" x14ac:dyDescent="0.4">
      <c r="C289" s="154"/>
      <c r="D289" s="37"/>
      <c r="E289" s="37"/>
      <c r="F289" s="31"/>
      <c r="G289" s="31"/>
      <c r="H289" s="30"/>
      <c r="I289" s="29"/>
    </row>
    <row r="290" spans="3:9" x14ac:dyDescent="0.4">
      <c r="C290" s="154"/>
      <c r="D290" s="37"/>
      <c r="E290" s="37"/>
      <c r="F290" s="31"/>
      <c r="G290" s="31"/>
      <c r="H290" s="30"/>
      <c r="I290" s="29"/>
    </row>
    <row r="291" spans="3:9" x14ac:dyDescent="0.4">
      <c r="C291" s="154"/>
      <c r="D291" s="37"/>
      <c r="E291" s="37"/>
      <c r="F291" s="31"/>
      <c r="G291" s="31"/>
      <c r="H291" s="30"/>
      <c r="I291" s="29"/>
    </row>
    <row r="292" spans="3:9" x14ac:dyDescent="0.4">
      <c r="C292" s="154"/>
      <c r="D292" s="37"/>
      <c r="E292" s="37"/>
      <c r="F292" s="31"/>
      <c r="G292" s="31"/>
      <c r="H292" s="30"/>
      <c r="I292" s="29"/>
    </row>
    <row r="293" spans="3:9" x14ac:dyDescent="0.4">
      <c r="C293" s="154"/>
      <c r="D293" s="37"/>
      <c r="E293" s="37"/>
      <c r="F293" s="31"/>
      <c r="G293" s="31"/>
      <c r="H293" s="30"/>
      <c r="I293" s="29"/>
    </row>
    <row r="294" spans="3:9" x14ac:dyDescent="0.4">
      <c r="C294" s="154"/>
      <c r="D294" s="37"/>
      <c r="E294" s="37"/>
      <c r="F294" s="31"/>
      <c r="G294" s="31"/>
      <c r="H294" s="30"/>
      <c r="I294" s="29"/>
    </row>
    <row r="295" spans="3:9" x14ac:dyDescent="0.4">
      <c r="C295" s="154"/>
      <c r="D295" s="37"/>
      <c r="E295" s="37"/>
      <c r="F295" s="31"/>
      <c r="G295" s="31"/>
      <c r="H295" s="30"/>
      <c r="I295" s="29"/>
    </row>
    <row r="296" spans="3:9" x14ac:dyDescent="0.4">
      <c r="C296" s="154"/>
      <c r="D296" s="37"/>
      <c r="E296" s="37"/>
      <c r="F296" s="31"/>
      <c r="G296" s="31"/>
      <c r="H296" s="30"/>
      <c r="I296" s="29"/>
    </row>
    <row r="297" spans="3:9" x14ac:dyDescent="0.4">
      <c r="C297" s="154"/>
      <c r="D297" s="37"/>
      <c r="E297" s="37"/>
      <c r="F297" s="31"/>
      <c r="G297" s="31"/>
      <c r="H297" s="30"/>
      <c r="I297" s="29"/>
    </row>
    <row r="298" spans="3:9" x14ac:dyDescent="0.4">
      <c r="C298" s="154"/>
      <c r="D298" s="37"/>
      <c r="E298" s="37"/>
      <c r="F298" s="31"/>
      <c r="G298" s="31"/>
      <c r="H298" s="30"/>
      <c r="I298" s="29"/>
    </row>
    <row r="299" spans="3:9" x14ac:dyDescent="0.4">
      <c r="C299" s="154"/>
      <c r="D299" s="37"/>
      <c r="E299" s="37"/>
      <c r="F299" s="31"/>
      <c r="G299" s="31"/>
      <c r="H299" s="30"/>
      <c r="I299" s="29"/>
    </row>
    <row r="300" spans="3:9" x14ac:dyDescent="0.4">
      <c r="C300" s="154"/>
      <c r="D300" s="37"/>
      <c r="E300" s="37"/>
      <c r="F300" s="31"/>
      <c r="G300" s="31"/>
      <c r="H300" s="30"/>
      <c r="I300" s="29"/>
    </row>
    <row r="301" spans="3:9" x14ac:dyDescent="0.4">
      <c r="C301" s="154"/>
      <c r="D301" s="37"/>
      <c r="E301" s="37"/>
      <c r="F301" s="31"/>
      <c r="G301" s="31"/>
      <c r="H301" s="30"/>
      <c r="I301" s="29"/>
    </row>
    <row r="302" spans="3:9" x14ac:dyDescent="0.4">
      <c r="C302" s="154"/>
      <c r="D302" s="37"/>
      <c r="E302" s="37"/>
      <c r="F302" s="31"/>
      <c r="G302" s="31"/>
      <c r="H302" s="30"/>
      <c r="I302" s="29"/>
    </row>
    <row r="303" spans="3:9" x14ac:dyDescent="0.4">
      <c r="C303" s="154"/>
      <c r="D303" s="37"/>
      <c r="E303" s="37"/>
      <c r="F303" s="31"/>
      <c r="G303" s="31"/>
      <c r="H303" s="30"/>
      <c r="I303" s="29"/>
    </row>
    <row r="304" spans="3:9" x14ac:dyDescent="0.4">
      <c r="C304" s="154"/>
      <c r="D304" s="37"/>
      <c r="E304" s="37"/>
      <c r="F304" s="31"/>
      <c r="G304" s="31"/>
      <c r="H304" s="30"/>
      <c r="I304" s="29"/>
    </row>
    <row r="305" spans="3:9" x14ac:dyDescent="0.4">
      <c r="C305" s="154"/>
      <c r="D305" s="37"/>
      <c r="E305" s="37"/>
      <c r="F305" s="31"/>
      <c r="G305" s="31"/>
      <c r="H305" s="30"/>
      <c r="I305" s="29"/>
    </row>
    <row r="306" spans="3:9" x14ac:dyDescent="0.4">
      <c r="C306" s="154"/>
      <c r="D306" s="37"/>
      <c r="E306" s="37"/>
      <c r="F306" s="31"/>
      <c r="G306" s="31"/>
      <c r="H306" s="30"/>
      <c r="I306" s="29"/>
    </row>
    <row r="307" spans="3:9" x14ac:dyDescent="0.4">
      <c r="C307" s="154"/>
      <c r="D307" s="37"/>
      <c r="E307" s="37"/>
      <c r="F307" s="31"/>
      <c r="G307" s="31"/>
      <c r="H307" s="30"/>
      <c r="I307" s="29"/>
    </row>
    <row r="308" spans="3:9" x14ac:dyDescent="0.4">
      <c r="C308" s="154"/>
      <c r="D308" s="37"/>
      <c r="E308" s="37"/>
      <c r="F308" s="31"/>
      <c r="G308" s="31"/>
      <c r="H308" s="30"/>
      <c r="I308" s="29"/>
    </row>
    <row r="309" spans="3:9" x14ac:dyDescent="0.4">
      <c r="C309" s="154"/>
      <c r="D309" s="37"/>
      <c r="E309" s="37"/>
      <c r="F309" s="31"/>
      <c r="G309" s="31"/>
      <c r="H309" s="30"/>
      <c r="I309" s="29"/>
    </row>
    <row r="310" spans="3:9" x14ac:dyDescent="0.4">
      <c r="C310" s="154"/>
      <c r="D310" s="37"/>
      <c r="E310" s="37"/>
      <c r="F310" s="31"/>
      <c r="G310" s="31"/>
      <c r="H310" s="30"/>
      <c r="I310" s="29"/>
    </row>
    <row r="311" spans="3:9" x14ac:dyDescent="0.4">
      <c r="C311" s="154"/>
      <c r="D311" s="37"/>
      <c r="E311" s="37"/>
      <c r="F311" s="31"/>
      <c r="G311" s="31"/>
      <c r="H311" s="30"/>
      <c r="I311" s="29"/>
    </row>
    <row r="312" spans="3:9" x14ac:dyDescent="0.4">
      <c r="C312" s="154"/>
      <c r="D312" s="37"/>
      <c r="E312" s="37"/>
      <c r="F312" s="31"/>
      <c r="G312" s="31"/>
      <c r="H312" s="30"/>
      <c r="I312" s="29"/>
    </row>
    <row r="313" spans="3:9" x14ac:dyDescent="0.4">
      <c r="C313" s="154"/>
      <c r="D313" s="37"/>
      <c r="E313" s="37"/>
      <c r="F313" s="31"/>
      <c r="G313" s="31"/>
      <c r="H313" s="30"/>
      <c r="I313" s="29"/>
    </row>
    <row r="314" spans="3:9" x14ac:dyDescent="0.4">
      <c r="C314" s="154"/>
      <c r="D314" s="37"/>
      <c r="E314" s="37"/>
      <c r="F314" s="31"/>
      <c r="G314" s="31"/>
      <c r="H314" s="30"/>
      <c r="I314" s="29"/>
    </row>
    <row r="315" spans="3:9" x14ac:dyDescent="0.4">
      <c r="C315" s="154"/>
      <c r="D315" s="37"/>
      <c r="E315" s="37"/>
      <c r="F315" s="31"/>
      <c r="G315" s="31"/>
      <c r="H315" s="30"/>
      <c r="I315" s="29"/>
    </row>
    <row r="316" spans="3:9" x14ac:dyDescent="0.4">
      <c r="C316" s="154"/>
      <c r="D316" s="37"/>
      <c r="E316" s="37"/>
      <c r="F316" s="31"/>
      <c r="G316" s="31"/>
      <c r="H316" s="30"/>
      <c r="I316" s="29"/>
    </row>
    <row r="317" spans="3:9" x14ac:dyDescent="0.4">
      <c r="C317" s="154"/>
      <c r="D317" s="37"/>
      <c r="E317" s="37"/>
      <c r="F317" s="31"/>
      <c r="G317" s="31"/>
      <c r="H317" s="30"/>
      <c r="I317" s="29"/>
    </row>
    <row r="318" spans="3:9" x14ac:dyDescent="0.4">
      <c r="C318" s="154"/>
      <c r="D318" s="37"/>
      <c r="E318" s="37"/>
      <c r="F318" s="31"/>
      <c r="G318" s="31"/>
      <c r="H318" s="30"/>
      <c r="I318" s="29"/>
    </row>
    <row r="319" spans="3:9" x14ac:dyDescent="0.4">
      <c r="C319" s="154"/>
      <c r="D319" s="37"/>
      <c r="E319" s="37"/>
      <c r="F319" s="31"/>
      <c r="G319" s="31"/>
      <c r="H319" s="30"/>
      <c r="I319" s="29"/>
    </row>
    <row r="320" spans="3:9" x14ac:dyDescent="0.4">
      <c r="C320" s="154"/>
      <c r="D320" s="37"/>
      <c r="E320" s="37"/>
      <c r="F320" s="31"/>
      <c r="G320" s="31"/>
      <c r="H320" s="30"/>
      <c r="I320" s="29"/>
    </row>
    <row r="321" spans="3:9" x14ac:dyDescent="0.4">
      <c r="C321" s="154"/>
      <c r="D321" s="37"/>
      <c r="E321" s="37"/>
      <c r="F321" s="31"/>
      <c r="G321" s="31"/>
      <c r="H321" s="30"/>
      <c r="I321" s="29"/>
    </row>
    <row r="322" spans="3:9" x14ac:dyDescent="0.4">
      <c r="C322" s="154"/>
      <c r="D322" s="37"/>
      <c r="E322" s="37"/>
      <c r="F322" s="31"/>
      <c r="G322" s="31"/>
      <c r="H322" s="30"/>
      <c r="I322" s="29"/>
    </row>
    <row r="323" spans="3:9" x14ac:dyDescent="0.4">
      <c r="C323" s="154"/>
      <c r="D323" s="37"/>
      <c r="E323" s="37"/>
      <c r="F323" s="31"/>
      <c r="G323" s="31"/>
      <c r="H323" s="30"/>
      <c r="I323" s="29"/>
    </row>
    <row r="324" spans="3:9" x14ac:dyDescent="0.4">
      <c r="C324" s="154"/>
      <c r="D324" s="37"/>
      <c r="E324" s="37"/>
      <c r="F324" s="31"/>
      <c r="G324" s="31"/>
      <c r="H324" s="30"/>
      <c r="I324" s="29"/>
    </row>
    <row r="325" spans="3:9" x14ac:dyDescent="0.4">
      <c r="C325" s="154"/>
      <c r="D325" s="37"/>
      <c r="E325" s="37"/>
      <c r="F325" s="31"/>
      <c r="G325" s="31"/>
      <c r="H325" s="30"/>
      <c r="I325" s="29"/>
    </row>
    <row r="326" spans="3:9" x14ac:dyDescent="0.4">
      <c r="C326" s="154"/>
      <c r="D326" s="37"/>
      <c r="E326" s="37"/>
      <c r="F326" s="31"/>
      <c r="G326" s="31"/>
      <c r="H326" s="30"/>
      <c r="I326" s="29"/>
    </row>
    <row r="327" spans="3:9" x14ac:dyDescent="0.4">
      <c r="C327" s="154"/>
      <c r="D327" s="37"/>
      <c r="E327" s="37"/>
      <c r="F327" s="31"/>
      <c r="G327" s="31"/>
      <c r="H327" s="30"/>
      <c r="I327" s="29"/>
    </row>
    <row r="328" spans="3:9" x14ac:dyDescent="0.4">
      <c r="C328" s="154"/>
      <c r="D328" s="37"/>
      <c r="E328" s="37"/>
      <c r="F328" s="31"/>
      <c r="G328" s="31"/>
      <c r="H328" s="30"/>
      <c r="I328" s="29"/>
    </row>
    <row r="329" spans="3:9" x14ac:dyDescent="0.4">
      <c r="C329" s="154"/>
      <c r="D329" s="37"/>
      <c r="E329" s="37"/>
      <c r="F329" s="31"/>
      <c r="G329" s="31"/>
      <c r="H329" s="30"/>
      <c r="I329" s="29"/>
    </row>
    <row r="330" spans="3:9" x14ac:dyDescent="0.4">
      <c r="C330" s="154"/>
      <c r="D330" s="37"/>
      <c r="E330" s="37"/>
      <c r="F330" s="31"/>
      <c r="G330" s="31"/>
      <c r="H330" s="30"/>
      <c r="I330" s="29"/>
    </row>
    <row r="331" spans="3:9" x14ac:dyDescent="0.4">
      <c r="C331" s="154"/>
      <c r="D331" s="37"/>
      <c r="E331" s="37"/>
      <c r="F331" s="31"/>
      <c r="G331" s="31"/>
      <c r="H331" s="30"/>
      <c r="I331" s="29"/>
    </row>
    <row r="332" spans="3:9" x14ac:dyDescent="0.4">
      <c r="C332" s="154"/>
      <c r="D332" s="37"/>
      <c r="E332" s="37"/>
      <c r="F332" s="31"/>
      <c r="G332" s="31"/>
      <c r="H332" s="30"/>
      <c r="I332" s="29"/>
    </row>
    <row r="333" spans="3:9" x14ac:dyDescent="0.4">
      <c r="C333" s="154"/>
      <c r="D333" s="37"/>
      <c r="E333" s="37"/>
      <c r="F333" s="31"/>
      <c r="G333" s="31"/>
      <c r="H333" s="30"/>
      <c r="I333" s="29"/>
    </row>
    <row r="334" spans="3:9" x14ac:dyDescent="0.4">
      <c r="C334" s="154"/>
      <c r="D334" s="37"/>
      <c r="E334" s="37"/>
      <c r="F334" s="31"/>
      <c r="G334" s="31"/>
      <c r="H334" s="30"/>
      <c r="I334" s="29"/>
    </row>
    <row r="335" spans="3:9" x14ac:dyDescent="0.4">
      <c r="C335" s="154"/>
      <c r="D335" s="37"/>
      <c r="E335" s="37"/>
      <c r="F335" s="31"/>
      <c r="G335" s="31"/>
      <c r="H335" s="30"/>
      <c r="I335" s="29"/>
    </row>
    <row r="336" spans="3:9" x14ac:dyDescent="0.4">
      <c r="C336" s="154"/>
      <c r="D336" s="37"/>
      <c r="E336" s="37"/>
      <c r="F336" s="31"/>
      <c r="G336" s="31"/>
      <c r="H336" s="30"/>
      <c r="I336" s="29"/>
    </row>
    <row r="337" spans="3:9" x14ac:dyDescent="0.4">
      <c r="C337" s="154"/>
      <c r="D337" s="37"/>
      <c r="E337" s="37"/>
      <c r="F337" s="31"/>
      <c r="G337" s="31"/>
      <c r="H337" s="30"/>
      <c r="I337" s="29"/>
    </row>
    <row r="338" spans="3:9" x14ac:dyDescent="0.4">
      <c r="C338" s="154"/>
      <c r="D338" s="37"/>
      <c r="E338" s="37"/>
      <c r="F338" s="31"/>
      <c r="G338" s="31"/>
      <c r="H338" s="30"/>
      <c r="I338" s="29"/>
    </row>
    <row r="339" spans="3:9" x14ac:dyDescent="0.4">
      <c r="C339" s="154"/>
      <c r="D339" s="37"/>
      <c r="E339" s="37"/>
      <c r="F339" s="31"/>
      <c r="G339" s="31"/>
      <c r="H339" s="30"/>
      <c r="I339" s="29"/>
    </row>
    <row r="340" spans="3:9" x14ac:dyDescent="0.4">
      <c r="C340" s="154"/>
      <c r="D340" s="37"/>
      <c r="E340" s="37"/>
      <c r="F340" s="31"/>
      <c r="G340" s="31"/>
      <c r="H340" s="30"/>
      <c r="I340" s="29"/>
    </row>
    <row r="341" spans="3:9" x14ac:dyDescent="0.4">
      <c r="C341" s="154"/>
      <c r="D341" s="37"/>
      <c r="E341" s="37"/>
      <c r="F341" s="31"/>
      <c r="G341" s="31"/>
      <c r="H341" s="30"/>
      <c r="I341" s="29"/>
    </row>
    <row r="342" spans="3:9" x14ac:dyDescent="0.4">
      <c r="C342" s="154"/>
      <c r="D342" s="37"/>
      <c r="E342" s="37"/>
      <c r="F342" s="31"/>
      <c r="G342" s="31"/>
      <c r="H342" s="30"/>
      <c r="I342" s="29"/>
    </row>
    <row r="343" spans="3:9" x14ac:dyDescent="0.4">
      <c r="C343" s="154"/>
      <c r="D343" s="37"/>
      <c r="E343" s="37"/>
      <c r="F343" s="31"/>
      <c r="G343" s="31"/>
      <c r="H343" s="30"/>
      <c r="I343" s="29"/>
    </row>
    <row r="344" spans="3:9" x14ac:dyDescent="0.4">
      <c r="C344" s="154"/>
      <c r="D344" s="37"/>
      <c r="E344" s="37"/>
      <c r="F344" s="31"/>
      <c r="G344" s="31"/>
      <c r="H344" s="30"/>
      <c r="I344" s="29"/>
    </row>
    <row r="345" spans="3:9" x14ac:dyDescent="0.4">
      <c r="C345" s="154"/>
      <c r="D345" s="37"/>
      <c r="E345" s="37"/>
      <c r="F345" s="31"/>
      <c r="G345" s="31"/>
      <c r="H345" s="30"/>
      <c r="I345" s="29"/>
    </row>
    <row r="346" spans="3:9" x14ac:dyDescent="0.4">
      <c r="C346" s="154"/>
      <c r="D346" s="37"/>
      <c r="E346" s="37"/>
      <c r="F346" s="31"/>
      <c r="G346" s="31"/>
      <c r="H346" s="30"/>
      <c r="I346" s="29"/>
    </row>
    <row r="347" spans="3:9" x14ac:dyDescent="0.4">
      <c r="C347" s="154"/>
      <c r="D347" s="37"/>
      <c r="E347" s="37"/>
      <c r="F347" s="31"/>
      <c r="G347" s="31"/>
      <c r="H347" s="30"/>
      <c r="I347" s="29"/>
    </row>
    <row r="348" spans="3:9" x14ac:dyDescent="0.4">
      <c r="C348" s="154"/>
      <c r="D348" s="37"/>
      <c r="E348" s="37"/>
      <c r="F348" s="31"/>
      <c r="G348" s="31"/>
      <c r="H348" s="30"/>
      <c r="I348" s="29"/>
    </row>
    <row r="349" spans="3:9" x14ac:dyDescent="0.4">
      <c r="C349" s="154"/>
      <c r="D349" s="37"/>
      <c r="E349" s="37"/>
      <c r="F349" s="31"/>
      <c r="G349" s="31"/>
      <c r="H349" s="30"/>
      <c r="I349" s="29"/>
    </row>
    <row r="350" spans="3:9" x14ac:dyDescent="0.4">
      <c r="C350" s="154"/>
      <c r="D350" s="37"/>
      <c r="E350" s="37"/>
      <c r="F350" s="31"/>
      <c r="G350" s="31"/>
      <c r="H350" s="30"/>
      <c r="I350" s="29"/>
    </row>
    <row r="351" spans="3:9" x14ac:dyDescent="0.4">
      <c r="C351" s="154"/>
      <c r="D351" s="37"/>
      <c r="E351" s="37"/>
      <c r="F351" s="31"/>
      <c r="G351" s="31"/>
      <c r="H351" s="30"/>
      <c r="I351" s="29"/>
    </row>
    <row r="352" spans="3:9" x14ac:dyDescent="0.4">
      <c r="C352" s="154"/>
      <c r="D352" s="37"/>
      <c r="E352" s="37"/>
      <c r="F352" s="31"/>
      <c r="G352" s="31"/>
      <c r="H352" s="30"/>
      <c r="I352" s="29"/>
    </row>
    <row r="353" spans="3:9" x14ac:dyDescent="0.4">
      <c r="C353" s="154"/>
      <c r="D353" s="37"/>
      <c r="E353" s="37"/>
      <c r="F353" s="31"/>
      <c r="G353" s="31"/>
      <c r="H353" s="30"/>
      <c r="I353" s="29"/>
    </row>
    <row r="354" spans="3:9" x14ac:dyDescent="0.4">
      <c r="C354" s="154"/>
      <c r="D354" s="37"/>
      <c r="E354" s="37"/>
      <c r="F354" s="31"/>
      <c r="G354" s="31"/>
      <c r="H354" s="30"/>
      <c r="I354" s="29"/>
    </row>
    <row r="355" spans="3:9" x14ac:dyDescent="0.4">
      <c r="C355" s="154"/>
      <c r="D355" s="37"/>
      <c r="E355" s="37"/>
      <c r="F355" s="31"/>
      <c r="G355" s="31"/>
      <c r="H355" s="30"/>
      <c r="I355" s="29"/>
    </row>
    <row r="356" spans="3:9" x14ac:dyDescent="0.4">
      <c r="C356" s="154"/>
      <c r="D356" s="37"/>
      <c r="E356" s="37"/>
      <c r="F356" s="31"/>
      <c r="G356" s="31"/>
      <c r="H356" s="30"/>
      <c r="I356" s="29"/>
    </row>
    <row r="357" spans="3:9" x14ac:dyDescent="0.4">
      <c r="C357" s="154"/>
      <c r="D357" s="37"/>
      <c r="E357" s="37"/>
      <c r="F357" s="31"/>
      <c r="G357" s="31"/>
      <c r="H357" s="30"/>
      <c r="I357" s="29"/>
    </row>
    <row r="358" spans="3:9" x14ac:dyDescent="0.4">
      <c r="C358" s="154"/>
      <c r="D358" s="37"/>
      <c r="E358" s="37"/>
      <c r="F358" s="31"/>
      <c r="G358" s="31"/>
      <c r="H358" s="30"/>
      <c r="I358" s="29"/>
    </row>
    <row r="359" spans="3:9" x14ac:dyDescent="0.4">
      <c r="C359" s="154"/>
      <c r="D359" s="37"/>
      <c r="E359" s="37"/>
      <c r="F359" s="31"/>
      <c r="G359" s="31"/>
      <c r="H359" s="30"/>
      <c r="I359" s="29"/>
    </row>
    <row r="360" spans="3:9" x14ac:dyDescent="0.4">
      <c r="C360" s="154"/>
      <c r="D360" s="37"/>
      <c r="E360" s="37"/>
      <c r="F360" s="31"/>
      <c r="G360" s="31"/>
      <c r="H360" s="30"/>
      <c r="I360" s="29"/>
    </row>
    <row r="361" spans="3:9" x14ac:dyDescent="0.4">
      <c r="C361" s="154"/>
      <c r="D361" s="37"/>
      <c r="E361" s="37"/>
      <c r="F361" s="31"/>
      <c r="G361" s="31"/>
      <c r="H361" s="30"/>
      <c r="I361" s="29"/>
    </row>
    <row r="362" spans="3:9" x14ac:dyDescent="0.4">
      <c r="C362" s="154"/>
      <c r="D362" s="37"/>
      <c r="E362" s="37"/>
      <c r="F362" s="31"/>
      <c r="G362" s="31"/>
      <c r="H362" s="30"/>
      <c r="I362" s="29"/>
    </row>
    <row r="363" spans="3:9" x14ac:dyDescent="0.4">
      <c r="C363" s="154"/>
      <c r="D363" s="37"/>
      <c r="E363" s="37"/>
      <c r="F363" s="31"/>
      <c r="G363" s="31"/>
      <c r="H363" s="30"/>
      <c r="I363" s="29"/>
    </row>
    <row r="364" spans="3:9" x14ac:dyDescent="0.4">
      <c r="C364" s="154"/>
      <c r="D364" s="37"/>
      <c r="E364" s="37"/>
      <c r="F364" s="31"/>
      <c r="G364" s="31"/>
      <c r="H364" s="30"/>
      <c r="I364" s="29"/>
    </row>
    <row r="365" spans="3:9" x14ac:dyDescent="0.4">
      <c r="C365" s="154"/>
      <c r="D365" s="37"/>
      <c r="E365" s="37"/>
      <c r="F365" s="31"/>
      <c r="G365" s="31"/>
      <c r="H365" s="30"/>
      <c r="I365" s="29"/>
    </row>
    <row r="366" spans="3:9" x14ac:dyDescent="0.4">
      <c r="C366" s="154"/>
      <c r="D366" s="37"/>
      <c r="E366" s="37"/>
      <c r="F366" s="31"/>
      <c r="G366" s="31"/>
      <c r="H366" s="30"/>
      <c r="I366" s="29"/>
    </row>
    <row r="367" spans="3:9" x14ac:dyDescent="0.4">
      <c r="C367" s="154"/>
      <c r="D367" s="37"/>
      <c r="E367" s="37"/>
      <c r="F367" s="31"/>
      <c r="G367" s="31"/>
      <c r="H367" s="30"/>
      <c r="I367" s="29"/>
    </row>
    <row r="368" spans="3:9" x14ac:dyDescent="0.4">
      <c r="C368" s="154"/>
      <c r="D368" s="37"/>
      <c r="E368" s="37"/>
      <c r="F368" s="31"/>
      <c r="G368" s="31"/>
      <c r="H368" s="30"/>
      <c r="I368" s="29"/>
    </row>
    <row r="369" spans="3:9" x14ac:dyDescent="0.4">
      <c r="C369" s="154"/>
      <c r="D369" s="37"/>
      <c r="E369" s="37"/>
      <c r="F369" s="31"/>
      <c r="G369" s="31"/>
      <c r="H369" s="30"/>
      <c r="I369" s="29"/>
    </row>
    <row r="370" spans="3:9" x14ac:dyDescent="0.4">
      <c r="C370" s="154"/>
      <c r="D370" s="37"/>
      <c r="E370" s="37"/>
      <c r="F370" s="31"/>
      <c r="G370" s="31"/>
      <c r="H370" s="30"/>
      <c r="I370" s="29"/>
    </row>
    <row r="371" spans="3:9" x14ac:dyDescent="0.4">
      <c r="C371" s="154"/>
      <c r="D371" s="37"/>
      <c r="E371" s="37"/>
      <c r="F371" s="31"/>
      <c r="G371" s="31"/>
      <c r="H371" s="30"/>
      <c r="I371" s="29"/>
    </row>
    <row r="372" spans="3:9" x14ac:dyDescent="0.4">
      <c r="C372" s="154"/>
      <c r="D372" s="37"/>
      <c r="E372" s="37"/>
      <c r="F372" s="31"/>
      <c r="G372" s="31"/>
      <c r="H372" s="30"/>
      <c r="I372" s="29"/>
    </row>
    <row r="373" spans="3:9" x14ac:dyDescent="0.4">
      <c r="C373" s="154"/>
      <c r="D373" s="37"/>
      <c r="E373" s="37"/>
      <c r="F373" s="31"/>
      <c r="G373" s="31"/>
      <c r="H373" s="30"/>
      <c r="I373" s="29"/>
    </row>
    <row r="374" spans="3:9" x14ac:dyDescent="0.4">
      <c r="C374" s="154"/>
      <c r="D374" s="37"/>
      <c r="E374" s="37"/>
      <c r="F374" s="31"/>
      <c r="G374" s="31"/>
      <c r="H374" s="30"/>
      <c r="I374" s="29"/>
    </row>
    <row r="375" spans="3:9" x14ac:dyDescent="0.4">
      <c r="C375" s="154"/>
      <c r="D375" s="37"/>
      <c r="E375" s="37"/>
      <c r="F375" s="31"/>
      <c r="G375" s="31"/>
      <c r="H375" s="30"/>
      <c r="I375" s="29"/>
    </row>
    <row r="376" spans="3:9" x14ac:dyDescent="0.4">
      <c r="C376" s="154"/>
      <c r="D376" s="37"/>
      <c r="E376" s="37"/>
      <c r="F376" s="31"/>
      <c r="G376" s="31"/>
      <c r="H376" s="30"/>
      <c r="I376" s="29"/>
    </row>
    <row r="377" spans="3:9" x14ac:dyDescent="0.4">
      <c r="C377" s="154"/>
      <c r="D377" s="37"/>
      <c r="E377" s="37"/>
      <c r="F377" s="31"/>
      <c r="G377" s="31"/>
      <c r="H377" s="30"/>
      <c r="I377" s="29"/>
    </row>
    <row r="378" spans="3:9" x14ac:dyDescent="0.4">
      <c r="C378" s="154"/>
      <c r="D378" s="37"/>
      <c r="E378" s="37"/>
      <c r="F378" s="31"/>
      <c r="G378" s="31"/>
      <c r="H378" s="30"/>
      <c r="I378" s="29"/>
    </row>
    <row r="379" spans="3:9" x14ac:dyDescent="0.4">
      <c r="C379" s="154"/>
      <c r="D379" s="37"/>
      <c r="E379" s="37"/>
      <c r="F379" s="31"/>
      <c r="G379" s="31"/>
      <c r="H379" s="30"/>
      <c r="I379" s="29"/>
    </row>
    <row r="380" spans="3:9" x14ac:dyDescent="0.4">
      <c r="C380" s="154"/>
      <c r="D380" s="37"/>
      <c r="E380" s="37"/>
      <c r="F380" s="31"/>
      <c r="G380" s="31"/>
      <c r="H380" s="30"/>
      <c r="I380" s="29"/>
    </row>
    <row r="381" spans="3:9" x14ac:dyDescent="0.4">
      <c r="C381" s="154"/>
      <c r="D381" s="37"/>
      <c r="E381" s="37"/>
      <c r="F381" s="31"/>
      <c r="G381" s="31"/>
      <c r="H381" s="30"/>
      <c r="I381" s="29"/>
    </row>
    <row r="382" spans="3:9" x14ac:dyDescent="0.4">
      <c r="C382" s="154"/>
      <c r="D382" s="37"/>
      <c r="E382" s="37"/>
      <c r="F382" s="31"/>
      <c r="G382" s="31"/>
      <c r="H382" s="30"/>
      <c r="I382" s="29"/>
    </row>
    <row r="383" spans="3:9" x14ac:dyDescent="0.4">
      <c r="C383" s="154"/>
      <c r="D383" s="37"/>
      <c r="E383" s="37"/>
      <c r="F383" s="31"/>
      <c r="G383" s="31"/>
      <c r="H383" s="30"/>
      <c r="I383" s="29"/>
    </row>
    <row r="384" spans="3:9" x14ac:dyDescent="0.4">
      <c r="C384" s="154"/>
      <c r="D384" s="37"/>
      <c r="E384" s="37"/>
      <c r="F384" s="31"/>
      <c r="G384" s="31"/>
      <c r="H384" s="30"/>
      <c r="I384" s="29"/>
    </row>
    <row r="385" spans="3:9" x14ac:dyDescent="0.4">
      <c r="C385" s="154"/>
      <c r="D385" s="37"/>
      <c r="E385" s="37"/>
      <c r="F385" s="31"/>
      <c r="G385" s="31"/>
      <c r="H385" s="30"/>
      <c r="I385" s="29"/>
    </row>
    <row r="386" spans="3:9" x14ac:dyDescent="0.4">
      <c r="C386" s="154"/>
      <c r="D386" s="37"/>
      <c r="E386" s="37"/>
      <c r="F386" s="31"/>
      <c r="G386" s="31"/>
      <c r="H386" s="30"/>
      <c r="I386" s="29"/>
    </row>
    <row r="387" spans="3:9" x14ac:dyDescent="0.4">
      <c r="C387" s="154"/>
      <c r="D387" s="37"/>
      <c r="E387" s="37"/>
      <c r="F387" s="31"/>
      <c r="G387" s="31"/>
      <c r="H387" s="30"/>
      <c r="I387" s="29"/>
    </row>
    <row r="388" spans="3:9" x14ac:dyDescent="0.4">
      <c r="C388" s="154"/>
      <c r="D388" s="37"/>
      <c r="E388" s="37"/>
      <c r="F388" s="31"/>
      <c r="G388" s="31"/>
      <c r="H388" s="30"/>
      <c r="I388" s="29"/>
    </row>
    <row r="389" spans="3:9" x14ac:dyDescent="0.4">
      <c r="C389" s="154"/>
      <c r="D389" s="37"/>
      <c r="E389" s="37"/>
      <c r="F389" s="31"/>
      <c r="G389" s="31"/>
      <c r="H389" s="30"/>
      <c r="I389" s="29"/>
    </row>
    <row r="390" spans="3:9" x14ac:dyDescent="0.4">
      <c r="C390" s="154"/>
      <c r="D390" s="37"/>
      <c r="E390" s="37"/>
      <c r="F390" s="31"/>
      <c r="G390" s="31"/>
      <c r="H390" s="30"/>
      <c r="I390" s="29"/>
    </row>
    <row r="391" spans="3:9" x14ac:dyDescent="0.4">
      <c r="C391" s="154"/>
      <c r="D391" s="37"/>
      <c r="E391" s="37"/>
      <c r="F391" s="31"/>
      <c r="G391" s="31"/>
      <c r="H391" s="30"/>
      <c r="I391" s="29"/>
    </row>
    <row r="392" spans="3:9" x14ac:dyDescent="0.4">
      <c r="C392" s="154"/>
      <c r="D392" s="37"/>
      <c r="E392" s="37"/>
      <c r="F392" s="31"/>
      <c r="G392" s="31"/>
      <c r="H392" s="30"/>
      <c r="I392" s="29"/>
    </row>
    <row r="393" spans="3:9" x14ac:dyDescent="0.4">
      <c r="C393" s="154"/>
      <c r="D393" s="37"/>
      <c r="E393" s="37"/>
      <c r="F393" s="31"/>
      <c r="G393" s="31"/>
      <c r="H393" s="30"/>
      <c r="I393" s="29"/>
    </row>
    <row r="394" spans="3:9" x14ac:dyDescent="0.4">
      <c r="C394" s="154"/>
      <c r="D394" s="37"/>
      <c r="E394" s="37"/>
      <c r="F394" s="31"/>
      <c r="G394" s="31"/>
      <c r="H394" s="30"/>
      <c r="I394" s="29"/>
    </row>
    <row r="395" spans="3:9" x14ac:dyDescent="0.4">
      <c r="C395" s="154"/>
      <c r="D395" s="37"/>
      <c r="E395" s="37"/>
      <c r="F395" s="31"/>
      <c r="G395" s="31"/>
      <c r="H395" s="30"/>
      <c r="I395" s="29"/>
    </row>
    <row r="396" spans="3:9" x14ac:dyDescent="0.4">
      <c r="C396" s="154"/>
      <c r="D396" s="37"/>
      <c r="E396" s="37"/>
      <c r="F396" s="31"/>
      <c r="G396" s="31"/>
      <c r="H396" s="30"/>
      <c r="I396" s="29"/>
    </row>
    <row r="397" spans="3:9" x14ac:dyDescent="0.4">
      <c r="C397" s="154"/>
      <c r="D397" s="37"/>
      <c r="E397" s="37"/>
      <c r="F397" s="31"/>
      <c r="G397" s="31"/>
      <c r="H397" s="30"/>
      <c r="I397" s="29"/>
    </row>
    <row r="398" spans="3:9" x14ac:dyDescent="0.4">
      <c r="C398" s="154"/>
      <c r="D398" s="37"/>
      <c r="E398" s="37"/>
      <c r="F398" s="31"/>
      <c r="G398" s="31"/>
      <c r="H398" s="30"/>
      <c r="I398" s="29"/>
    </row>
    <row r="399" spans="3:9" x14ac:dyDescent="0.4">
      <c r="C399" s="154"/>
      <c r="D399" s="37"/>
      <c r="E399" s="37"/>
      <c r="F399" s="31"/>
      <c r="G399" s="31"/>
      <c r="H399" s="30"/>
      <c r="I399" s="29"/>
    </row>
    <row r="400" spans="3:9" x14ac:dyDescent="0.4">
      <c r="C400" s="154"/>
      <c r="D400" s="37"/>
      <c r="E400" s="37"/>
      <c r="F400" s="31"/>
      <c r="G400" s="31"/>
      <c r="H400" s="30"/>
      <c r="I400" s="29"/>
    </row>
    <row r="401" spans="3:9" x14ac:dyDescent="0.4">
      <c r="C401" s="154"/>
      <c r="D401" s="37"/>
      <c r="E401" s="37"/>
      <c r="F401" s="31"/>
      <c r="G401" s="31"/>
      <c r="H401" s="30"/>
      <c r="I401" s="29"/>
    </row>
    <row r="402" spans="3:9" x14ac:dyDescent="0.4">
      <c r="C402" s="154"/>
      <c r="D402" s="37"/>
      <c r="E402" s="37"/>
      <c r="F402" s="31"/>
      <c r="G402" s="31"/>
      <c r="H402" s="30"/>
      <c r="I402" s="29"/>
    </row>
    <row r="403" spans="3:9" x14ac:dyDescent="0.4">
      <c r="C403" s="154"/>
      <c r="D403" s="37"/>
      <c r="E403" s="37"/>
      <c r="F403" s="31"/>
      <c r="G403" s="31"/>
      <c r="H403" s="30"/>
      <c r="I403" s="29"/>
    </row>
    <row r="404" spans="3:9" x14ac:dyDescent="0.4">
      <c r="C404" s="154"/>
      <c r="D404" s="37"/>
      <c r="E404" s="37"/>
      <c r="F404" s="31"/>
      <c r="G404" s="31"/>
      <c r="H404" s="30"/>
      <c r="I404" s="29"/>
    </row>
    <row r="405" spans="3:9" x14ac:dyDescent="0.4">
      <c r="C405" s="154"/>
      <c r="D405" s="37"/>
      <c r="E405" s="37"/>
      <c r="F405" s="31"/>
      <c r="G405" s="31"/>
      <c r="H405" s="30"/>
      <c r="I405" s="29"/>
    </row>
    <row r="406" spans="3:9" x14ac:dyDescent="0.4">
      <c r="C406" s="154"/>
      <c r="D406" s="37"/>
      <c r="E406" s="37"/>
      <c r="F406" s="31"/>
      <c r="G406" s="31"/>
      <c r="H406" s="30"/>
      <c r="I406" s="29"/>
    </row>
    <row r="407" spans="3:9" x14ac:dyDescent="0.4">
      <c r="C407" s="154"/>
      <c r="D407" s="37"/>
      <c r="E407" s="37"/>
      <c r="F407" s="31"/>
      <c r="G407" s="31"/>
      <c r="H407" s="30"/>
      <c r="I407" s="29"/>
    </row>
    <row r="408" spans="3:9" x14ac:dyDescent="0.4">
      <c r="C408" s="154"/>
      <c r="D408" s="37"/>
      <c r="E408" s="37"/>
      <c r="F408" s="31"/>
      <c r="G408" s="31"/>
      <c r="H408" s="30"/>
      <c r="I408" s="29"/>
    </row>
    <row r="409" spans="3:9" x14ac:dyDescent="0.4">
      <c r="C409" s="154"/>
      <c r="D409" s="37"/>
      <c r="E409" s="37"/>
      <c r="F409" s="31"/>
      <c r="G409" s="31"/>
      <c r="H409" s="30"/>
      <c r="I409" s="29"/>
    </row>
    <row r="410" spans="3:9" x14ac:dyDescent="0.4">
      <c r="C410" s="154"/>
      <c r="D410" s="37"/>
      <c r="E410" s="37"/>
      <c r="F410" s="31"/>
      <c r="G410" s="31"/>
      <c r="H410" s="30"/>
      <c r="I410" s="29"/>
    </row>
    <row r="411" spans="3:9" x14ac:dyDescent="0.4">
      <c r="C411" s="154"/>
      <c r="D411" s="37"/>
      <c r="E411" s="37"/>
      <c r="F411" s="31"/>
      <c r="G411" s="31"/>
      <c r="H411" s="30"/>
      <c r="I411" s="29"/>
    </row>
    <row r="412" spans="3:9" x14ac:dyDescent="0.4">
      <c r="C412" s="154"/>
      <c r="D412" s="37"/>
      <c r="E412" s="37"/>
      <c r="F412" s="31"/>
      <c r="G412" s="31"/>
      <c r="H412" s="30"/>
      <c r="I412" s="29"/>
    </row>
    <row r="413" spans="3:9" x14ac:dyDescent="0.4">
      <c r="C413" s="154"/>
      <c r="D413" s="37"/>
      <c r="E413" s="37"/>
      <c r="F413" s="31"/>
      <c r="G413" s="31"/>
      <c r="H413" s="30"/>
      <c r="I413" s="29"/>
    </row>
    <row r="414" spans="3:9" x14ac:dyDescent="0.4">
      <c r="C414" s="154"/>
      <c r="D414" s="37"/>
      <c r="E414" s="37"/>
      <c r="F414" s="31"/>
      <c r="G414" s="31"/>
      <c r="H414" s="30"/>
      <c r="I414" s="29"/>
    </row>
    <row r="415" spans="3:9" x14ac:dyDescent="0.4">
      <c r="C415" s="154"/>
      <c r="D415" s="37"/>
      <c r="E415" s="37"/>
      <c r="F415" s="31"/>
      <c r="G415" s="31"/>
      <c r="H415" s="30"/>
      <c r="I415" s="29"/>
    </row>
    <row r="416" spans="3:9" x14ac:dyDescent="0.4">
      <c r="C416" s="154"/>
      <c r="D416" s="37"/>
      <c r="E416" s="37"/>
      <c r="F416" s="31"/>
      <c r="G416" s="31"/>
      <c r="H416" s="30"/>
      <c r="I416" s="29"/>
    </row>
    <row r="417" spans="3:9" x14ac:dyDescent="0.4">
      <c r="C417" s="154"/>
      <c r="D417" s="37"/>
      <c r="E417" s="37"/>
      <c r="F417" s="31"/>
      <c r="G417" s="31"/>
      <c r="H417" s="30"/>
      <c r="I417" s="29"/>
    </row>
    <row r="418" spans="3:9" x14ac:dyDescent="0.4">
      <c r="C418" s="154"/>
      <c r="D418" s="37"/>
      <c r="E418" s="37"/>
      <c r="F418" s="31"/>
      <c r="G418" s="31"/>
      <c r="H418" s="30"/>
      <c r="I418" s="29"/>
    </row>
    <row r="419" spans="3:9" x14ac:dyDescent="0.4">
      <c r="C419" s="154"/>
      <c r="D419" s="37"/>
      <c r="E419" s="37"/>
      <c r="F419" s="31"/>
      <c r="G419" s="31"/>
      <c r="H419" s="30"/>
      <c r="I419" s="29"/>
    </row>
    <row r="420" spans="3:9" x14ac:dyDescent="0.4">
      <c r="C420" s="154"/>
      <c r="D420" s="37"/>
      <c r="E420" s="37"/>
      <c r="F420" s="31"/>
      <c r="G420" s="31"/>
      <c r="H420" s="30"/>
      <c r="I420" s="29"/>
    </row>
    <row r="421" spans="3:9" x14ac:dyDescent="0.4">
      <c r="C421" s="154"/>
      <c r="D421" s="37"/>
      <c r="E421" s="37"/>
      <c r="F421" s="31"/>
      <c r="G421" s="31"/>
      <c r="H421" s="30"/>
      <c r="I421" s="29"/>
    </row>
    <row r="422" spans="3:9" x14ac:dyDescent="0.4">
      <c r="C422" s="154"/>
      <c r="D422" s="37"/>
      <c r="E422" s="37"/>
      <c r="F422" s="31"/>
      <c r="G422" s="31"/>
      <c r="H422" s="30"/>
      <c r="I422" s="29"/>
    </row>
    <row r="423" spans="3:9" x14ac:dyDescent="0.4">
      <c r="C423" s="154"/>
      <c r="D423" s="37"/>
      <c r="E423" s="37"/>
      <c r="F423" s="31"/>
      <c r="G423" s="31"/>
      <c r="H423" s="30"/>
      <c r="I423" s="29"/>
    </row>
    <row r="424" spans="3:9" x14ac:dyDescent="0.4">
      <c r="C424" s="154"/>
      <c r="D424" s="37"/>
      <c r="E424" s="37"/>
      <c r="F424" s="31"/>
      <c r="G424" s="31"/>
      <c r="H424" s="30"/>
      <c r="I424" s="29"/>
    </row>
    <row r="425" spans="3:9" x14ac:dyDescent="0.4">
      <c r="C425" s="154"/>
      <c r="D425" s="37"/>
      <c r="E425" s="37"/>
      <c r="F425" s="31"/>
      <c r="G425" s="31"/>
      <c r="H425" s="30"/>
      <c r="I425" s="29"/>
    </row>
    <row r="426" spans="3:9" x14ac:dyDescent="0.4">
      <c r="C426" s="154"/>
      <c r="D426" s="37"/>
      <c r="E426" s="37"/>
      <c r="F426" s="31"/>
      <c r="G426" s="31"/>
      <c r="H426" s="30"/>
      <c r="I426" s="29"/>
    </row>
    <row r="427" spans="3:9" x14ac:dyDescent="0.4">
      <c r="C427" s="154"/>
      <c r="D427" s="37"/>
      <c r="E427" s="37"/>
      <c r="F427" s="31"/>
      <c r="G427" s="31"/>
      <c r="H427" s="30"/>
      <c r="I427" s="29"/>
    </row>
    <row r="428" spans="3:9" x14ac:dyDescent="0.4">
      <c r="C428" s="154"/>
      <c r="D428" s="37"/>
      <c r="E428" s="37"/>
      <c r="F428" s="31"/>
      <c r="G428" s="31"/>
      <c r="H428" s="30"/>
      <c r="I428" s="29"/>
    </row>
    <row r="429" spans="3:9" x14ac:dyDescent="0.4">
      <c r="C429" s="154"/>
      <c r="D429" s="37"/>
      <c r="E429" s="37"/>
      <c r="F429" s="31"/>
      <c r="G429" s="31"/>
      <c r="H429" s="30"/>
      <c r="I429" s="29"/>
    </row>
    <row r="430" spans="3:9" x14ac:dyDescent="0.4">
      <c r="C430" s="154"/>
      <c r="D430" s="37"/>
      <c r="E430" s="37"/>
      <c r="F430" s="31"/>
      <c r="G430" s="31"/>
      <c r="H430" s="30"/>
      <c r="I430" s="29"/>
    </row>
    <row r="431" spans="3:9" x14ac:dyDescent="0.4">
      <c r="C431" s="154"/>
      <c r="D431" s="37"/>
      <c r="E431" s="37"/>
      <c r="F431" s="31"/>
      <c r="G431" s="31"/>
      <c r="H431" s="30"/>
      <c r="I431" s="29"/>
    </row>
    <row r="432" spans="3:9" x14ac:dyDescent="0.4">
      <c r="C432" s="154"/>
      <c r="D432" s="37"/>
      <c r="E432" s="37"/>
      <c r="F432" s="31"/>
      <c r="G432" s="31"/>
      <c r="H432" s="30"/>
      <c r="I432" s="29"/>
    </row>
    <row r="433" spans="3:9" x14ac:dyDescent="0.4">
      <c r="C433" s="154"/>
      <c r="D433" s="37"/>
      <c r="E433" s="37"/>
      <c r="F433" s="31"/>
      <c r="G433" s="31"/>
      <c r="H433" s="30"/>
      <c r="I433" s="29"/>
    </row>
    <row r="434" spans="3:9" x14ac:dyDescent="0.4">
      <c r="C434" s="154"/>
      <c r="D434" s="37"/>
      <c r="E434" s="37"/>
      <c r="F434" s="31"/>
      <c r="G434" s="31"/>
      <c r="H434" s="30"/>
      <c r="I434" s="29"/>
    </row>
    <row r="435" spans="3:9" x14ac:dyDescent="0.4">
      <c r="C435" s="154"/>
      <c r="D435" s="37"/>
      <c r="E435" s="37"/>
      <c r="F435" s="31"/>
      <c r="G435" s="31"/>
      <c r="H435" s="30"/>
      <c r="I435" s="29"/>
    </row>
    <row r="436" spans="3:9" x14ac:dyDescent="0.4">
      <c r="C436" s="154"/>
      <c r="D436" s="37"/>
      <c r="E436" s="37"/>
      <c r="F436" s="31"/>
      <c r="G436" s="31"/>
      <c r="H436" s="30"/>
      <c r="I436" s="29"/>
    </row>
    <row r="437" spans="3:9" x14ac:dyDescent="0.4">
      <c r="C437" s="154"/>
      <c r="D437" s="37"/>
      <c r="E437" s="37"/>
      <c r="F437" s="31"/>
      <c r="G437" s="31"/>
      <c r="H437" s="30"/>
      <c r="I437" s="29"/>
    </row>
    <row r="438" spans="3:9" x14ac:dyDescent="0.4">
      <c r="C438" s="154"/>
      <c r="D438" s="37"/>
      <c r="E438" s="37"/>
      <c r="F438" s="31"/>
      <c r="G438" s="31"/>
      <c r="H438" s="30"/>
      <c r="I438" s="29"/>
    </row>
    <row r="439" spans="3:9" x14ac:dyDescent="0.4">
      <c r="C439" s="154"/>
      <c r="D439" s="37"/>
      <c r="E439" s="37"/>
      <c r="F439" s="31"/>
      <c r="G439" s="31"/>
      <c r="H439" s="30"/>
      <c r="I439" s="29"/>
    </row>
    <row r="440" spans="3:9" x14ac:dyDescent="0.4">
      <c r="C440" s="154"/>
      <c r="D440" s="37"/>
      <c r="E440" s="37"/>
      <c r="F440" s="31"/>
      <c r="G440" s="31"/>
      <c r="H440" s="30"/>
      <c r="I440" s="29"/>
    </row>
    <row r="441" spans="3:9" x14ac:dyDescent="0.4">
      <c r="C441" s="154"/>
      <c r="D441" s="37"/>
      <c r="E441" s="37"/>
      <c r="F441" s="31"/>
      <c r="G441" s="31"/>
      <c r="H441" s="30"/>
      <c r="I441" s="29"/>
    </row>
    <row r="442" spans="3:9" x14ac:dyDescent="0.4">
      <c r="C442" s="154"/>
      <c r="D442" s="37"/>
      <c r="E442" s="37"/>
      <c r="F442" s="31"/>
      <c r="G442" s="31"/>
      <c r="H442" s="30"/>
      <c r="I442" s="29"/>
    </row>
    <row r="443" spans="3:9" x14ac:dyDescent="0.4">
      <c r="C443" s="154"/>
      <c r="D443" s="37"/>
      <c r="E443" s="37"/>
      <c r="F443" s="31"/>
      <c r="G443" s="31"/>
      <c r="H443" s="30"/>
      <c r="I443" s="29"/>
    </row>
    <row r="444" spans="3:9" x14ac:dyDescent="0.4">
      <c r="C444" s="154"/>
      <c r="D444" s="37"/>
      <c r="E444" s="37"/>
      <c r="F444" s="31"/>
      <c r="G444" s="31"/>
      <c r="H444" s="30"/>
      <c r="I444" s="29"/>
    </row>
    <row r="445" spans="3:9" x14ac:dyDescent="0.4">
      <c r="C445" s="154"/>
      <c r="D445" s="37"/>
      <c r="E445" s="37"/>
      <c r="F445" s="31"/>
      <c r="G445" s="31"/>
      <c r="H445" s="30"/>
      <c r="I445" s="29"/>
    </row>
    <row r="446" spans="3:9" x14ac:dyDescent="0.4">
      <c r="C446" s="154"/>
      <c r="D446" s="37"/>
      <c r="E446" s="37"/>
      <c r="F446" s="31"/>
      <c r="G446" s="31"/>
      <c r="H446" s="30"/>
      <c r="I446" s="29"/>
    </row>
    <row r="447" spans="3:9" x14ac:dyDescent="0.4">
      <c r="C447" s="154"/>
      <c r="D447" s="37"/>
      <c r="E447" s="37"/>
      <c r="F447" s="31"/>
      <c r="G447" s="31"/>
      <c r="H447" s="30"/>
      <c r="I447" s="29"/>
    </row>
    <row r="448" spans="3:9" x14ac:dyDescent="0.4">
      <c r="C448" s="154"/>
      <c r="D448" s="37"/>
      <c r="E448" s="37"/>
      <c r="F448" s="31"/>
      <c r="G448" s="31"/>
      <c r="H448" s="30"/>
      <c r="I448" s="29"/>
    </row>
    <row r="449" spans="3:9" x14ac:dyDescent="0.4">
      <c r="C449" s="154"/>
      <c r="D449" s="37"/>
      <c r="E449" s="37"/>
      <c r="F449" s="31"/>
      <c r="G449" s="31"/>
      <c r="H449" s="30"/>
      <c r="I449" s="29"/>
    </row>
    <row r="450" spans="3:9" x14ac:dyDescent="0.4">
      <c r="C450" s="154"/>
      <c r="D450" s="37"/>
      <c r="E450" s="37"/>
      <c r="F450" s="31"/>
      <c r="G450" s="31"/>
      <c r="H450" s="30"/>
      <c r="I450" s="29"/>
    </row>
    <row r="451" spans="3:9" x14ac:dyDescent="0.4">
      <c r="C451" s="154"/>
      <c r="D451" s="37"/>
      <c r="E451" s="37"/>
      <c r="F451" s="31"/>
      <c r="G451" s="31"/>
      <c r="H451" s="30"/>
      <c r="I451" s="29"/>
    </row>
    <row r="452" spans="3:9" x14ac:dyDescent="0.4">
      <c r="C452" s="154"/>
      <c r="D452" s="37"/>
      <c r="E452" s="37"/>
      <c r="F452" s="31"/>
      <c r="G452" s="31"/>
      <c r="H452" s="30"/>
      <c r="I452" s="29"/>
    </row>
    <row r="453" spans="3:9" x14ac:dyDescent="0.4">
      <c r="C453" s="154"/>
      <c r="D453" s="37"/>
      <c r="E453" s="37"/>
      <c r="F453" s="31"/>
      <c r="G453" s="31"/>
      <c r="H453" s="30"/>
      <c r="I453" s="29"/>
    </row>
    <row r="454" spans="3:9" x14ac:dyDescent="0.4">
      <c r="C454" s="154"/>
      <c r="D454" s="37"/>
      <c r="E454" s="37"/>
      <c r="F454" s="31"/>
      <c r="G454" s="31"/>
      <c r="H454" s="30"/>
      <c r="I454" s="29"/>
    </row>
    <row r="455" spans="3:9" x14ac:dyDescent="0.4">
      <c r="C455" s="154"/>
      <c r="D455" s="37"/>
      <c r="E455" s="37"/>
      <c r="F455" s="31"/>
      <c r="G455" s="31"/>
      <c r="H455" s="30"/>
      <c r="I455" s="29"/>
    </row>
    <row r="456" spans="3:9" x14ac:dyDescent="0.4">
      <c r="C456" s="154"/>
      <c r="D456" s="37"/>
      <c r="E456" s="37"/>
      <c r="F456" s="31"/>
      <c r="G456" s="31"/>
      <c r="H456" s="30"/>
      <c r="I456" s="29"/>
    </row>
    <row r="457" spans="3:9" x14ac:dyDescent="0.4">
      <c r="C457" s="154"/>
      <c r="D457" s="37"/>
      <c r="E457" s="37"/>
      <c r="F457" s="31"/>
      <c r="G457" s="31"/>
      <c r="H457" s="30"/>
      <c r="I457" s="29"/>
    </row>
    <row r="458" spans="3:9" x14ac:dyDescent="0.4">
      <c r="C458" s="154"/>
      <c r="D458" s="37"/>
      <c r="E458" s="37"/>
      <c r="F458" s="31"/>
      <c r="G458" s="31"/>
      <c r="H458" s="30"/>
      <c r="I458" s="29"/>
    </row>
    <row r="459" spans="3:9" x14ac:dyDescent="0.4">
      <c r="C459" s="154"/>
      <c r="D459" s="37"/>
      <c r="E459" s="37"/>
      <c r="F459" s="31"/>
      <c r="G459" s="31"/>
      <c r="H459" s="30"/>
      <c r="I459" s="29"/>
    </row>
    <row r="460" spans="3:9" x14ac:dyDescent="0.4">
      <c r="C460" s="154"/>
      <c r="D460" s="37"/>
      <c r="E460" s="37"/>
      <c r="F460" s="31"/>
      <c r="G460" s="31"/>
      <c r="H460" s="30"/>
      <c r="I460" s="29"/>
    </row>
    <row r="461" spans="3:9" x14ac:dyDescent="0.4">
      <c r="C461" s="154"/>
      <c r="D461" s="37"/>
      <c r="E461" s="37"/>
      <c r="F461" s="31"/>
      <c r="G461" s="31"/>
      <c r="H461" s="30"/>
      <c r="I461" s="29"/>
    </row>
    <row r="462" spans="3:9" x14ac:dyDescent="0.4">
      <c r="C462" s="154"/>
      <c r="D462" s="37"/>
      <c r="E462" s="37"/>
      <c r="F462" s="31"/>
      <c r="G462" s="31"/>
      <c r="H462" s="30"/>
      <c r="I462" s="29"/>
    </row>
    <row r="463" spans="3:9" x14ac:dyDescent="0.4">
      <c r="C463" s="154"/>
      <c r="D463" s="37"/>
      <c r="E463" s="37"/>
      <c r="F463" s="31"/>
      <c r="G463" s="31"/>
      <c r="H463" s="30"/>
      <c r="I463" s="29"/>
    </row>
    <row r="464" spans="3:9" x14ac:dyDescent="0.4">
      <c r="C464" s="154"/>
      <c r="D464" s="37"/>
      <c r="E464" s="37"/>
      <c r="F464" s="31"/>
      <c r="G464" s="31"/>
      <c r="H464" s="30"/>
      <c r="I464" s="29"/>
    </row>
    <row r="465" spans="3:9" x14ac:dyDescent="0.4">
      <c r="C465" s="154"/>
      <c r="D465" s="37"/>
      <c r="E465" s="37"/>
      <c r="F465" s="31"/>
      <c r="G465" s="31"/>
      <c r="H465" s="30"/>
      <c r="I465" s="29"/>
    </row>
    <row r="466" spans="3:9" x14ac:dyDescent="0.4">
      <c r="C466" s="154"/>
      <c r="D466" s="37"/>
      <c r="E466" s="37"/>
      <c r="F466" s="31"/>
      <c r="G466" s="31"/>
      <c r="H466" s="30"/>
      <c r="I466" s="29"/>
    </row>
    <row r="467" spans="3:9" x14ac:dyDescent="0.4">
      <c r="C467" s="154"/>
      <c r="D467" s="37"/>
      <c r="E467" s="37"/>
      <c r="F467" s="31"/>
      <c r="G467" s="31"/>
      <c r="H467" s="30"/>
      <c r="I467" s="29"/>
    </row>
    <row r="468" spans="3:9" x14ac:dyDescent="0.4">
      <c r="C468" s="154"/>
      <c r="D468" s="37"/>
      <c r="E468" s="37"/>
      <c r="F468" s="31"/>
      <c r="G468" s="31"/>
      <c r="H468" s="30"/>
      <c r="I468" s="29"/>
    </row>
    <row r="469" spans="3:9" x14ac:dyDescent="0.4">
      <c r="C469" s="154"/>
      <c r="D469" s="37"/>
      <c r="E469" s="37"/>
      <c r="F469" s="31"/>
      <c r="G469" s="31"/>
      <c r="H469" s="30"/>
      <c r="I469" s="29"/>
    </row>
    <row r="470" spans="3:9" x14ac:dyDescent="0.4">
      <c r="C470" s="154"/>
      <c r="D470" s="37"/>
      <c r="E470" s="37"/>
      <c r="F470" s="31"/>
      <c r="G470" s="31"/>
      <c r="H470" s="30"/>
      <c r="I470" s="29"/>
    </row>
    <row r="471" spans="3:9" x14ac:dyDescent="0.4">
      <c r="C471" s="154"/>
      <c r="D471" s="37"/>
      <c r="E471" s="37"/>
      <c r="F471" s="31"/>
      <c r="G471" s="31"/>
      <c r="H471" s="30"/>
      <c r="I471" s="29"/>
    </row>
    <row r="472" spans="3:9" x14ac:dyDescent="0.4">
      <c r="C472" s="154"/>
      <c r="D472" s="37"/>
      <c r="E472" s="37"/>
      <c r="F472" s="31"/>
      <c r="G472" s="31"/>
      <c r="H472" s="30"/>
      <c r="I472" s="29"/>
    </row>
    <row r="473" spans="3:9" x14ac:dyDescent="0.4">
      <c r="C473" s="154"/>
      <c r="D473" s="37"/>
      <c r="E473" s="37"/>
      <c r="F473" s="31"/>
      <c r="G473" s="31"/>
      <c r="H473" s="30"/>
      <c r="I473" s="29"/>
    </row>
    <row r="474" spans="3:9" x14ac:dyDescent="0.4">
      <c r="C474" s="154"/>
      <c r="D474" s="37"/>
      <c r="E474" s="37"/>
      <c r="F474" s="31"/>
      <c r="G474" s="31"/>
      <c r="H474" s="30"/>
      <c r="I474" s="29"/>
    </row>
    <row r="475" spans="3:9" x14ac:dyDescent="0.4">
      <c r="C475" s="154"/>
      <c r="D475" s="37"/>
      <c r="E475" s="37"/>
      <c r="F475" s="31"/>
      <c r="G475" s="31"/>
      <c r="H475" s="30"/>
      <c r="I475" s="29"/>
    </row>
    <row r="476" spans="3:9" x14ac:dyDescent="0.4">
      <c r="C476" s="154"/>
      <c r="D476" s="37"/>
      <c r="E476" s="37"/>
      <c r="F476" s="31"/>
      <c r="G476" s="31"/>
      <c r="H476" s="30"/>
      <c r="I476" s="29"/>
    </row>
    <row r="477" spans="3:9" x14ac:dyDescent="0.4">
      <c r="C477" s="154"/>
      <c r="D477" s="37"/>
      <c r="E477" s="37"/>
      <c r="F477" s="31"/>
      <c r="G477" s="31"/>
      <c r="H477" s="30"/>
      <c r="I477" s="29"/>
    </row>
    <row r="478" spans="3:9" x14ac:dyDescent="0.4">
      <c r="C478" s="154"/>
      <c r="D478" s="37"/>
      <c r="E478" s="37"/>
      <c r="F478" s="31"/>
      <c r="G478" s="31"/>
      <c r="H478" s="30"/>
      <c r="I478" s="29"/>
    </row>
    <row r="479" spans="3:9" x14ac:dyDescent="0.4">
      <c r="C479" s="154"/>
      <c r="D479" s="37"/>
      <c r="E479" s="37"/>
      <c r="F479" s="31"/>
      <c r="G479" s="31"/>
      <c r="H479" s="30"/>
      <c r="I479" s="29"/>
    </row>
    <row r="480" spans="3:9" x14ac:dyDescent="0.4">
      <c r="C480" s="154"/>
      <c r="D480" s="37"/>
      <c r="E480" s="37"/>
      <c r="F480" s="31"/>
      <c r="G480" s="31"/>
      <c r="H480" s="30"/>
      <c r="I480" s="29"/>
    </row>
    <row r="481" spans="3:9" x14ac:dyDescent="0.4">
      <c r="C481" s="154"/>
      <c r="D481" s="37"/>
      <c r="E481" s="37"/>
      <c r="F481" s="31"/>
      <c r="G481" s="31"/>
      <c r="H481" s="30"/>
      <c r="I481" s="29"/>
    </row>
    <row r="482" spans="3:9" x14ac:dyDescent="0.4">
      <c r="C482" s="154"/>
      <c r="D482" s="37"/>
      <c r="E482" s="37"/>
      <c r="F482" s="31"/>
      <c r="G482" s="31"/>
      <c r="H482" s="30"/>
      <c r="I482" s="29"/>
    </row>
    <row r="483" spans="3:9" x14ac:dyDescent="0.4">
      <c r="C483" s="154"/>
      <c r="D483" s="37"/>
      <c r="E483" s="37"/>
      <c r="F483" s="31"/>
      <c r="G483" s="31"/>
      <c r="H483" s="30"/>
      <c r="I483" s="29"/>
    </row>
    <row r="484" spans="3:9" x14ac:dyDescent="0.4">
      <c r="C484" s="154"/>
      <c r="D484" s="37"/>
      <c r="E484" s="37"/>
      <c r="F484" s="31"/>
      <c r="G484" s="31"/>
      <c r="H484" s="30"/>
      <c r="I484" s="29"/>
    </row>
    <row r="485" spans="3:9" x14ac:dyDescent="0.4">
      <c r="C485" s="154"/>
      <c r="D485" s="37"/>
      <c r="E485" s="37"/>
      <c r="F485" s="31"/>
      <c r="G485" s="31"/>
      <c r="H485" s="30"/>
      <c r="I485" s="29"/>
    </row>
    <row r="486" spans="3:9" x14ac:dyDescent="0.4">
      <c r="C486" s="154"/>
      <c r="D486" s="37"/>
      <c r="E486" s="37"/>
      <c r="F486" s="31"/>
      <c r="G486" s="31"/>
      <c r="H486" s="30"/>
      <c r="I486" s="29"/>
    </row>
    <row r="487" spans="3:9" x14ac:dyDescent="0.4">
      <c r="C487" s="154"/>
      <c r="D487" s="37"/>
      <c r="E487" s="37"/>
      <c r="F487" s="31"/>
      <c r="G487" s="31"/>
      <c r="H487" s="30"/>
      <c r="I487" s="29"/>
    </row>
    <row r="488" spans="3:9" x14ac:dyDescent="0.4">
      <c r="C488" s="154"/>
      <c r="D488" s="37"/>
      <c r="E488" s="37"/>
      <c r="F488" s="31"/>
      <c r="G488" s="31"/>
      <c r="H488" s="30"/>
      <c r="I488" s="29"/>
    </row>
    <row r="489" spans="3:9" x14ac:dyDescent="0.4">
      <c r="C489" s="154"/>
      <c r="D489" s="37"/>
      <c r="E489" s="37"/>
      <c r="F489" s="31"/>
      <c r="G489" s="31"/>
      <c r="H489" s="30"/>
      <c r="I489" s="29"/>
    </row>
    <row r="490" spans="3:9" x14ac:dyDescent="0.4">
      <c r="C490" s="154"/>
      <c r="D490" s="37"/>
      <c r="E490" s="37"/>
      <c r="F490" s="31"/>
      <c r="G490" s="31"/>
      <c r="H490" s="30"/>
      <c r="I490" s="29"/>
    </row>
    <row r="491" spans="3:9" x14ac:dyDescent="0.4">
      <c r="C491" s="154"/>
      <c r="D491" s="37"/>
      <c r="E491" s="37"/>
      <c r="F491" s="31"/>
      <c r="G491" s="31"/>
      <c r="H491" s="30"/>
      <c r="I491" s="29"/>
    </row>
    <row r="492" spans="3:9" x14ac:dyDescent="0.4">
      <c r="C492" s="154"/>
      <c r="D492" s="37"/>
      <c r="E492" s="37"/>
      <c r="F492" s="31"/>
      <c r="G492" s="31"/>
      <c r="H492" s="30"/>
      <c r="I492" s="29"/>
    </row>
    <row r="493" spans="3:9" x14ac:dyDescent="0.4">
      <c r="C493" s="154"/>
      <c r="D493" s="37"/>
      <c r="E493" s="37"/>
      <c r="F493" s="31"/>
      <c r="G493" s="31"/>
      <c r="H493" s="30"/>
      <c r="I493" s="29"/>
    </row>
    <row r="494" spans="3:9" x14ac:dyDescent="0.4">
      <c r="C494" s="154"/>
      <c r="D494" s="37"/>
      <c r="E494" s="37"/>
      <c r="F494" s="31"/>
      <c r="G494" s="31"/>
      <c r="H494" s="30"/>
      <c r="I494" s="29"/>
    </row>
    <row r="495" spans="3:9" x14ac:dyDescent="0.4">
      <c r="C495" s="154"/>
      <c r="D495" s="37"/>
      <c r="E495" s="37"/>
      <c r="F495" s="31"/>
      <c r="G495" s="31"/>
      <c r="H495" s="30"/>
      <c r="I495" s="29"/>
    </row>
    <row r="496" spans="3:9" x14ac:dyDescent="0.4">
      <c r="C496" s="154"/>
      <c r="D496" s="37"/>
      <c r="E496" s="37"/>
      <c r="F496" s="31"/>
      <c r="G496" s="31"/>
      <c r="H496" s="30"/>
      <c r="I496" s="29"/>
    </row>
    <row r="497" spans="3:9" x14ac:dyDescent="0.4">
      <c r="C497" s="154"/>
      <c r="D497" s="37"/>
      <c r="E497" s="37"/>
      <c r="F497" s="31"/>
      <c r="G497" s="31"/>
      <c r="H497" s="30"/>
      <c r="I497" s="29"/>
    </row>
    <row r="498" spans="3:9" x14ac:dyDescent="0.4">
      <c r="C498" s="154"/>
      <c r="D498" s="37"/>
      <c r="E498" s="37"/>
      <c r="F498" s="31"/>
      <c r="G498" s="31"/>
      <c r="H498" s="30"/>
      <c r="I498" s="29"/>
    </row>
    <row r="499" spans="3:9" x14ac:dyDescent="0.4">
      <c r="C499" s="154"/>
      <c r="D499" s="37"/>
      <c r="E499" s="37"/>
      <c r="F499" s="31"/>
      <c r="G499" s="31"/>
      <c r="H499" s="30"/>
      <c r="I499" s="29"/>
    </row>
    <row r="500" spans="3:9" x14ac:dyDescent="0.4">
      <c r="C500" s="154"/>
      <c r="D500" s="37"/>
      <c r="E500" s="37"/>
      <c r="F500" s="31"/>
      <c r="G500" s="31"/>
      <c r="H500" s="30"/>
      <c r="I500" s="29"/>
    </row>
    <row r="501" spans="3:9" x14ac:dyDescent="0.4">
      <c r="C501" s="154"/>
      <c r="D501" s="37"/>
      <c r="E501" s="37"/>
      <c r="F501" s="31"/>
      <c r="G501" s="31"/>
      <c r="H501" s="30"/>
      <c r="I501" s="29"/>
    </row>
    <row r="502" spans="3:9" x14ac:dyDescent="0.4">
      <c r="C502" s="154"/>
      <c r="D502" s="37"/>
      <c r="E502" s="37"/>
      <c r="F502" s="31"/>
      <c r="G502" s="31"/>
      <c r="H502" s="30"/>
      <c r="I502" s="29"/>
    </row>
    <row r="503" spans="3:9" x14ac:dyDescent="0.4">
      <c r="C503" s="154"/>
      <c r="D503" s="37"/>
      <c r="E503" s="37"/>
      <c r="F503" s="31"/>
      <c r="G503" s="31"/>
      <c r="H503" s="30"/>
      <c r="I503" s="29"/>
    </row>
    <row r="504" spans="3:9" x14ac:dyDescent="0.4">
      <c r="C504" s="154"/>
      <c r="D504" s="37"/>
      <c r="E504" s="37"/>
      <c r="F504" s="31"/>
      <c r="G504" s="31"/>
      <c r="H504" s="30"/>
      <c r="I504" s="29"/>
    </row>
    <row r="505" spans="3:9" x14ac:dyDescent="0.4">
      <c r="C505" s="154"/>
      <c r="D505" s="37"/>
      <c r="E505" s="37"/>
      <c r="F505" s="31"/>
      <c r="G505" s="31"/>
      <c r="H505" s="30"/>
      <c r="I505" s="29"/>
    </row>
    <row r="506" spans="3:9" x14ac:dyDescent="0.4">
      <c r="C506" s="154"/>
      <c r="D506" s="37"/>
      <c r="E506" s="37"/>
      <c r="F506" s="31"/>
      <c r="G506" s="31"/>
      <c r="H506" s="30"/>
      <c r="I506" s="29"/>
    </row>
    <row r="507" spans="3:9" x14ac:dyDescent="0.4">
      <c r="C507" s="154"/>
      <c r="D507" s="37"/>
      <c r="E507" s="37"/>
      <c r="F507" s="31"/>
      <c r="G507" s="31"/>
      <c r="H507" s="30"/>
      <c r="I507" s="29"/>
    </row>
    <row r="508" spans="3:9" x14ac:dyDescent="0.4">
      <c r="C508" s="154"/>
      <c r="D508" s="37"/>
      <c r="E508" s="37"/>
      <c r="F508" s="31"/>
      <c r="G508" s="31"/>
      <c r="H508" s="30"/>
      <c r="I508" s="29"/>
    </row>
    <row r="509" spans="3:9" x14ac:dyDescent="0.4">
      <c r="C509" s="154"/>
      <c r="D509" s="37"/>
      <c r="E509" s="37"/>
      <c r="F509" s="31"/>
      <c r="G509" s="31"/>
      <c r="H509" s="30"/>
      <c r="I509" s="29"/>
    </row>
    <row r="510" spans="3:9" x14ac:dyDescent="0.4">
      <c r="C510" s="154"/>
      <c r="D510" s="37"/>
      <c r="E510" s="37"/>
      <c r="F510" s="31"/>
      <c r="G510" s="31"/>
      <c r="H510" s="30"/>
      <c r="I510" s="29"/>
    </row>
    <row r="511" spans="3:9" x14ac:dyDescent="0.4">
      <c r="C511" s="154"/>
      <c r="D511" s="37"/>
      <c r="E511" s="37"/>
      <c r="F511" s="31"/>
      <c r="G511" s="31"/>
      <c r="H511" s="30"/>
      <c r="I511" s="29"/>
    </row>
    <row r="512" spans="3:9" x14ac:dyDescent="0.4">
      <c r="C512" s="154"/>
      <c r="D512" s="37"/>
      <c r="E512" s="37"/>
      <c r="F512" s="31"/>
      <c r="G512" s="31"/>
      <c r="H512" s="30"/>
      <c r="I512" s="29"/>
    </row>
    <row r="513" spans="3:9" x14ac:dyDescent="0.4">
      <c r="C513" s="154"/>
      <c r="D513" s="37"/>
      <c r="E513" s="37"/>
      <c r="F513" s="31"/>
      <c r="G513" s="31"/>
      <c r="H513" s="30"/>
      <c r="I513" s="29"/>
    </row>
    <row r="514" spans="3:9" x14ac:dyDescent="0.4">
      <c r="C514" s="154"/>
      <c r="D514" s="37"/>
      <c r="E514" s="37"/>
      <c r="F514" s="31"/>
      <c r="G514" s="31"/>
      <c r="H514" s="30"/>
      <c r="I514" s="29"/>
    </row>
    <row r="515" spans="3:9" x14ac:dyDescent="0.4">
      <c r="C515" s="154"/>
      <c r="D515" s="37"/>
      <c r="E515" s="37"/>
      <c r="F515" s="31"/>
      <c r="G515" s="31"/>
      <c r="H515" s="30"/>
      <c r="I515" s="29"/>
    </row>
    <row r="516" spans="3:9" x14ac:dyDescent="0.4">
      <c r="C516" s="154"/>
      <c r="D516" s="37"/>
      <c r="E516" s="37"/>
      <c r="F516" s="31"/>
      <c r="G516" s="31"/>
      <c r="H516" s="30"/>
      <c r="I516" s="29"/>
    </row>
    <row r="517" spans="3:9" x14ac:dyDescent="0.4">
      <c r="C517" s="154"/>
      <c r="D517" s="37"/>
      <c r="E517" s="37"/>
      <c r="F517" s="31"/>
      <c r="G517" s="31"/>
      <c r="H517" s="30"/>
      <c r="I517" s="29"/>
    </row>
    <row r="518" spans="3:9" x14ac:dyDescent="0.4">
      <c r="C518" s="154"/>
      <c r="D518" s="37"/>
      <c r="E518" s="37"/>
      <c r="F518" s="31"/>
      <c r="G518" s="31"/>
      <c r="H518" s="30"/>
      <c r="I518" s="29"/>
    </row>
    <row r="519" spans="3:9" x14ac:dyDescent="0.4">
      <c r="C519" s="154"/>
      <c r="D519" s="37"/>
      <c r="E519" s="37"/>
      <c r="F519" s="31"/>
      <c r="G519" s="31"/>
      <c r="H519" s="30"/>
      <c r="I519" s="29"/>
    </row>
    <row r="520" spans="3:9" x14ac:dyDescent="0.4">
      <c r="C520" s="154"/>
      <c r="D520" s="37"/>
      <c r="E520" s="37"/>
      <c r="F520" s="31"/>
      <c r="G520" s="31"/>
      <c r="H520" s="30"/>
      <c r="I520" s="29"/>
    </row>
    <row r="521" spans="3:9" x14ac:dyDescent="0.4">
      <c r="C521" s="154"/>
      <c r="D521" s="37"/>
      <c r="E521" s="37"/>
      <c r="F521" s="31"/>
      <c r="G521" s="31"/>
      <c r="H521" s="30"/>
      <c r="I521" s="29"/>
    </row>
    <row r="522" spans="3:9" x14ac:dyDescent="0.4">
      <c r="C522" s="154"/>
      <c r="D522" s="37"/>
      <c r="E522" s="37"/>
      <c r="F522" s="31"/>
      <c r="G522" s="31"/>
      <c r="H522" s="30"/>
      <c r="I522" s="29"/>
    </row>
    <row r="523" spans="3:9" x14ac:dyDescent="0.4">
      <c r="C523" s="154"/>
      <c r="D523" s="37"/>
      <c r="E523" s="37"/>
      <c r="F523" s="31"/>
      <c r="G523" s="31"/>
      <c r="H523" s="30"/>
      <c r="I523" s="29"/>
    </row>
    <row r="524" spans="3:9" x14ac:dyDescent="0.4">
      <c r="C524" s="154"/>
      <c r="D524" s="37"/>
      <c r="E524" s="37"/>
      <c r="F524" s="31"/>
      <c r="G524" s="31"/>
      <c r="H524" s="30"/>
      <c r="I524" s="29"/>
    </row>
    <row r="525" spans="3:9" x14ac:dyDescent="0.4">
      <c r="C525" s="154"/>
      <c r="D525" s="37"/>
      <c r="E525" s="37"/>
      <c r="F525" s="31"/>
      <c r="G525" s="31"/>
      <c r="H525" s="30"/>
      <c r="I525" s="29"/>
    </row>
    <row r="526" spans="3:9" x14ac:dyDescent="0.4">
      <c r="C526" s="154"/>
      <c r="D526" s="37"/>
      <c r="E526" s="37"/>
      <c r="F526" s="31"/>
      <c r="G526" s="31"/>
      <c r="H526" s="30"/>
      <c r="I526" s="29"/>
    </row>
    <row r="527" spans="3:9" x14ac:dyDescent="0.4">
      <c r="C527" s="154"/>
      <c r="D527" s="37"/>
      <c r="E527" s="37"/>
      <c r="F527" s="31"/>
      <c r="G527" s="31"/>
      <c r="H527" s="30"/>
      <c r="I527" s="29"/>
    </row>
    <row r="528" spans="3:9" x14ac:dyDescent="0.4">
      <c r="C528" s="154"/>
      <c r="D528" s="37"/>
      <c r="E528" s="37"/>
      <c r="F528" s="31"/>
      <c r="G528" s="31"/>
      <c r="H528" s="30"/>
      <c r="I528" s="29"/>
    </row>
    <row r="529" spans="3:9" x14ac:dyDescent="0.4">
      <c r="C529" s="154"/>
      <c r="D529" s="37"/>
      <c r="E529" s="37"/>
      <c r="F529" s="31"/>
      <c r="G529" s="31"/>
      <c r="H529" s="30"/>
      <c r="I529" s="29"/>
    </row>
    <row r="530" spans="3:9" x14ac:dyDescent="0.4">
      <c r="C530" s="154"/>
      <c r="D530" s="37"/>
      <c r="E530" s="37"/>
      <c r="F530" s="31"/>
      <c r="G530" s="31"/>
      <c r="H530" s="30"/>
      <c r="I530" s="29"/>
    </row>
    <row r="531" spans="3:9" x14ac:dyDescent="0.4">
      <c r="C531" s="154"/>
      <c r="D531" s="37"/>
      <c r="E531" s="37"/>
      <c r="F531" s="31"/>
      <c r="G531" s="31"/>
      <c r="H531" s="30"/>
      <c r="I531" s="29"/>
    </row>
    <row r="532" spans="3:9" x14ac:dyDescent="0.4">
      <c r="C532" s="154"/>
      <c r="D532" s="37"/>
      <c r="E532" s="37"/>
      <c r="F532" s="31"/>
      <c r="G532" s="31"/>
      <c r="H532" s="30"/>
      <c r="I532" s="29"/>
    </row>
    <row r="533" spans="3:9" x14ac:dyDescent="0.4">
      <c r="C533" s="154"/>
      <c r="D533" s="37"/>
      <c r="E533" s="37"/>
      <c r="F533" s="31"/>
      <c r="G533" s="31"/>
      <c r="H533" s="30"/>
      <c r="I533" s="29"/>
    </row>
    <row r="534" spans="3:9" x14ac:dyDescent="0.4">
      <c r="C534" s="154"/>
      <c r="D534" s="37"/>
      <c r="E534" s="37"/>
      <c r="F534" s="31"/>
      <c r="G534" s="31"/>
      <c r="H534" s="30"/>
      <c r="I534" s="29"/>
    </row>
    <row r="535" spans="3:9" x14ac:dyDescent="0.4">
      <c r="C535" s="154"/>
      <c r="D535" s="37"/>
      <c r="E535" s="37"/>
      <c r="F535" s="31"/>
      <c r="G535" s="31"/>
      <c r="H535" s="30"/>
      <c r="I535" s="29"/>
    </row>
    <row r="536" spans="3:9" x14ac:dyDescent="0.4">
      <c r="C536" s="154"/>
      <c r="D536" s="37"/>
      <c r="E536" s="37"/>
      <c r="F536" s="31"/>
      <c r="G536" s="31"/>
      <c r="H536" s="30"/>
      <c r="I536" s="29"/>
    </row>
    <row r="537" spans="3:9" x14ac:dyDescent="0.4">
      <c r="C537" s="154"/>
      <c r="D537" s="37"/>
      <c r="E537" s="37"/>
      <c r="F537" s="31"/>
      <c r="G537" s="31"/>
      <c r="H537" s="30"/>
      <c r="I537" s="29"/>
    </row>
    <row r="538" spans="3:9" x14ac:dyDescent="0.4">
      <c r="C538" s="154"/>
      <c r="D538" s="37"/>
      <c r="E538" s="37"/>
      <c r="F538" s="31"/>
      <c r="G538" s="31"/>
      <c r="H538" s="30"/>
      <c r="I538" s="29"/>
    </row>
    <row r="539" spans="3:9" x14ac:dyDescent="0.4">
      <c r="C539" s="154"/>
      <c r="D539" s="37"/>
      <c r="E539" s="37"/>
      <c r="F539" s="31"/>
      <c r="G539" s="31"/>
      <c r="H539" s="30"/>
      <c r="I539" s="29"/>
    </row>
    <row r="540" spans="3:9" x14ac:dyDescent="0.4">
      <c r="C540" s="154"/>
      <c r="D540" s="37"/>
      <c r="E540" s="37"/>
      <c r="F540" s="31"/>
      <c r="G540" s="31"/>
      <c r="H540" s="30"/>
      <c r="I540" s="29"/>
    </row>
    <row r="541" spans="3:9" x14ac:dyDescent="0.4">
      <c r="C541" s="154"/>
      <c r="D541" s="37"/>
      <c r="E541" s="37"/>
      <c r="F541" s="31"/>
      <c r="G541" s="31"/>
      <c r="H541" s="30"/>
      <c r="I541" s="29"/>
    </row>
    <row r="542" spans="3:9" x14ac:dyDescent="0.4">
      <c r="C542" s="154"/>
      <c r="D542" s="37"/>
      <c r="E542" s="37"/>
      <c r="F542" s="31"/>
      <c r="G542" s="31"/>
      <c r="H542" s="30"/>
      <c r="I542" s="29"/>
    </row>
    <row r="543" spans="3:9" x14ac:dyDescent="0.4">
      <c r="C543" s="154"/>
      <c r="D543" s="37"/>
      <c r="E543" s="37"/>
      <c r="F543" s="31"/>
      <c r="G543" s="31"/>
      <c r="H543" s="30"/>
      <c r="I543" s="29"/>
    </row>
    <row r="544" spans="3:9" x14ac:dyDescent="0.4">
      <c r="C544" s="154"/>
      <c r="D544" s="37"/>
      <c r="E544" s="37"/>
      <c r="F544" s="31"/>
      <c r="G544" s="31"/>
      <c r="H544" s="30"/>
      <c r="I544" s="29"/>
    </row>
    <row r="545" spans="3:9" x14ac:dyDescent="0.4">
      <c r="C545" s="154"/>
      <c r="D545" s="37"/>
      <c r="E545" s="37"/>
      <c r="F545" s="31"/>
      <c r="G545" s="31"/>
      <c r="H545" s="30"/>
      <c r="I545" s="29"/>
    </row>
    <row r="546" spans="3:9" x14ac:dyDescent="0.4">
      <c r="C546" s="154"/>
      <c r="D546" s="37"/>
      <c r="E546" s="37"/>
      <c r="F546" s="31"/>
      <c r="G546" s="31"/>
      <c r="H546" s="30"/>
      <c r="I546" s="29"/>
    </row>
    <row r="547" spans="3:9" x14ac:dyDescent="0.4">
      <c r="C547" s="154"/>
      <c r="D547" s="37"/>
      <c r="E547" s="37"/>
      <c r="F547" s="31"/>
      <c r="G547" s="31"/>
      <c r="H547" s="30"/>
      <c r="I547" s="29"/>
    </row>
    <row r="548" spans="3:9" x14ac:dyDescent="0.4">
      <c r="C548" s="154"/>
      <c r="D548" s="37"/>
      <c r="E548" s="37"/>
      <c r="F548" s="31"/>
      <c r="G548" s="31"/>
      <c r="H548" s="30"/>
      <c r="I548" s="29"/>
    </row>
    <row r="549" spans="3:9" x14ac:dyDescent="0.4">
      <c r="C549" s="154"/>
      <c r="D549" s="37"/>
      <c r="E549" s="37"/>
      <c r="F549" s="31"/>
      <c r="G549" s="31"/>
      <c r="H549" s="30"/>
      <c r="I549" s="29"/>
    </row>
    <row r="550" spans="3:9" x14ac:dyDescent="0.4">
      <c r="C550" s="154"/>
      <c r="D550" s="37"/>
      <c r="E550" s="37"/>
      <c r="F550" s="31"/>
      <c r="G550" s="31"/>
      <c r="H550" s="30"/>
      <c r="I550" s="29"/>
    </row>
    <row r="551" spans="3:9" x14ac:dyDescent="0.4">
      <c r="C551" s="154"/>
      <c r="D551" s="37"/>
      <c r="E551" s="37"/>
      <c r="F551" s="31"/>
      <c r="G551" s="31"/>
      <c r="H551" s="30"/>
      <c r="I551" s="29"/>
    </row>
    <row r="552" spans="3:9" x14ac:dyDescent="0.4">
      <c r="C552" s="154"/>
      <c r="D552" s="37"/>
      <c r="E552" s="37"/>
      <c r="F552" s="31"/>
      <c r="G552" s="31"/>
      <c r="H552" s="30"/>
      <c r="I552" s="29"/>
    </row>
    <row r="553" spans="3:9" x14ac:dyDescent="0.4">
      <c r="C553" s="154"/>
      <c r="D553" s="37"/>
      <c r="E553" s="37"/>
      <c r="F553" s="31"/>
      <c r="G553" s="31"/>
      <c r="H553" s="30"/>
      <c r="I553" s="29"/>
    </row>
    <row r="554" spans="3:9" x14ac:dyDescent="0.4">
      <c r="C554" s="154"/>
      <c r="D554" s="37"/>
      <c r="E554" s="37"/>
      <c r="F554" s="31"/>
      <c r="G554" s="31"/>
      <c r="H554" s="30"/>
      <c r="I554" s="29"/>
    </row>
    <row r="555" spans="3:9" x14ac:dyDescent="0.4">
      <c r="C555" s="154"/>
      <c r="D555" s="37"/>
      <c r="E555" s="37"/>
      <c r="F555" s="31"/>
      <c r="G555" s="31"/>
      <c r="H555" s="30"/>
      <c r="I555" s="29"/>
    </row>
    <row r="556" spans="3:9" x14ac:dyDescent="0.4">
      <c r="C556" s="154"/>
      <c r="D556" s="37"/>
      <c r="E556" s="37"/>
      <c r="F556" s="31"/>
      <c r="G556" s="31"/>
      <c r="H556" s="30"/>
      <c r="I556" s="29"/>
    </row>
    <row r="557" spans="3:9" x14ac:dyDescent="0.4">
      <c r="C557" s="154"/>
      <c r="D557" s="37"/>
      <c r="E557" s="37"/>
      <c r="F557" s="31"/>
      <c r="G557" s="31"/>
      <c r="H557" s="30"/>
      <c r="I557" s="29"/>
    </row>
    <row r="558" spans="3:9" x14ac:dyDescent="0.4">
      <c r="C558" s="154"/>
      <c r="D558" s="37"/>
      <c r="E558" s="37"/>
      <c r="F558" s="31"/>
      <c r="G558" s="31"/>
      <c r="H558" s="30"/>
      <c r="I558" s="29"/>
    </row>
    <row r="559" spans="3:9" x14ac:dyDescent="0.4">
      <c r="C559" s="154"/>
      <c r="D559" s="37"/>
      <c r="E559" s="37"/>
      <c r="F559" s="31"/>
      <c r="G559" s="31"/>
      <c r="H559" s="30"/>
      <c r="I559" s="29"/>
    </row>
    <row r="560" spans="3:9" x14ac:dyDescent="0.4">
      <c r="C560" s="154"/>
      <c r="D560" s="37"/>
      <c r="E560" s="37"/>
      <c r="F560" s="31"/>
      <c r="G560" s="31"/>
      <c r="H560" s="30"/>
      <c r="I560" s="29"/>
    </row>
    <row r="561" spans="3:9" x14ac:dyDescent="0.4">
      <c r="C561" s="154"/>
      <c r="D561" s="37"/>
      <c r="E561" s="37"/>
      <c r="F561" s="31"/>
      <c r="G561" s="31"/>
      <c r="H561" s="30"/>
      <c r="I561" s="29"/>
    </row>
    <row r="562" spans="3:9" x14ac:dyDescent="0.4">
      <c r="C562" s="154"/>
      <c r="D562" s="37"/>
      <c r="E562" s="37"/>
      <c r="F562" s="31"/>
      <c r="G562" s="31"/>
      <c r="H562" s="30"/>
      <c r="I562" s="29"/>
    </row>
    <row r="563" spans="3:9" x14ac:dyDescent="0.4">
      <c r="C563" s="154"/>
      <c r="D563" s="37"/>
      <c r="E563" s="37"/>
      <c r="F563" s="31"/>
      <c r="G563" s="31"/>
      <c r="H563" s="30"/>
      <c r="I563" s="29"/>
    </row>
    <row r="564" spans="3:9" x14ac:dyDescent="0.4">
      <c r="C564" s="154"/>
      <c r="D564" s="37"/>
      <c r="E564" s="37"/>
      <c r="F564" s="31"/>
      <c r="G564" s="31"/>
      <c r="H564" s="30"/>
      <c r="I564" s="29"/>
    </row>
    <row r="565" spans="3:9" x14ac:dyDescent="0.4">
      <c r="C565" s="154"/>
      <c r="D565" s="37"/>
      <c r="E565" s="37"/>
      <c r="F565" s="31"/>
      <c r="G565" s="31"/>
      <c r="H565" s="30"/>
      <c r="I565" s="29"/>
    </row>
    <row r="566" spans="3:9" x14ac:dyDescent="0.4">
      <c r="C566" s="154"/>
      <c r="D566" s="37"/>
      <c r="E566" s="37"/>
      <c r="F566" s="31"/>
      <c r="G566" s="31"/>
      <c r="H566" s="30"/>
      <c r="I566" s="29"/>
    </row>
    <row r="567" spans="3:9" x14ac:dyDescent="0.4">
      <c r="C567" s="154"/>
      <c r="D567" s="37"/>
      <c r="E567" s="37"/>
      <c r="F567" s="31"/>
      <c r="G567" s="31"/>
      <c r="H567" s="30"/>
      <c r="I567" s="29"/>
    </row>
    <row r="568" spans="3:9" x14ac:dyDescent="0.4">
      <c r="C568" s="154"/>
      <c r="D568" s="37"/>
      <c r="E568" s="37"/>
      <c r="F568" s="31"/>
      <c r="G568" s="31"/>
      <c r="H568" s="30"/>
      <c r="I568" s="29"/>
    </row>
    <row r="569" spans="3:9" x14ac:dyDescent="0.4">
      <c r="C569" s="154"/>
      <c r="D569" s="37"/>
      <c r="E569" s="37"/>
      <c r="F569" s="31"/>
      <c r="G569" s="31"/>
      <c r="H569" s="30"/>
      <c r="I569" s="29"/>
    </row>
    <row r="570" spans="3:9" x14ac:dyDescent="0.4">
      <c r="C570" s="154"/>
      <c r="D570" s="37"/>
      <c r="E570" s="37"/>
      <c r="F570" s="31"/>
      <c r="G570" s="31"/>
      <c r="H570" s="30"/>
      <c r="I570" s="29"/>
    </row>
    <row r="571" spans="3:9" x14ac:dyDescent="0.4">
      <c r="C571" s="154"/>
      <c r="D571" s="37"/>
      <c r="E571" s="37"/>
      <c r="F571" s="31"/>
      <c r="G571" s="31"/>
      <c r="H571" s="30"/>
      <c r="I571" s="29"/>
    </row>
    <row r="572" spans="3:9" x14ac:dyDescent="0.4">
      <c r="C572" s="154"/>
      <c r="D572" s="37"/>
      <c r="E572" s="37"/>
      <c r="F572" s="31"/>
      <c r="G572" s="31"/>
      <c r="H572" s="30"/>
      <c r="I572" s="29"/>
    </row>
    <row r="573" spans="3:9" x14ac:dyDescent="0.4">
      <c r="C573" s="154"/>
      <c r="D573" s="37"/>
      <c r="E573" s="37"/>
      <c r="F573" s="31"/>
      <c r="G573" s="31"/>
      <c r="H573" s="30"/>
      <c r="I573" s="29"/>
    </row>
    <row r="574" spans="3:9" x14ac:dyDescent="0.4">
      <c r="C574" s="154"/>
      <c r="D574" s="37"/>
      <c r="E574" s="37"/>
      <c r="F574" s="31"/>
      <c r="G574" s="31"/>
      <c r="H574" s="30"/>
      <c r="I574" s="29"/>
    </row>
    <row r="575" spans="3:9" x14ac:dyDescent="0.4">
      <c r="C575" s="154"/>
      <c r="D575" s="37"/>
      <c r="E575" s="37"/>
      <c r="F575" s="31"/>
      <c r="G575" s="31"/>
      <c r="H575" s="30"/>
      <c r="I575" s="29"/>
    </row>
    <row r="576" spans="3:9" x14ac:dyDescent="0.4">
      <c r="C576" s="154"/>
      <c r="D576" s="37"/>
      <c r="E576" s="37"/>
      <c r="F576" s="31"/>
      <c r="G576" s="31"/>
      <c r="H576" s="30"/>
      <c r="I576" s="29"/>
    </row>
    <row r="577" spans="3:9" x14ac:dyDescent="0.4">
      <c r="C577" s="154"/>
      <c r="D577" s="37"/>
      <c r="E577" s="37"/>
      <c r="F577" s="31"/>
      <c r="G577" s="31"/>
      <c r="H577" s="30"/>
      <c r="I577" s="29"/>
    </row>
    <row r="578" spans="3:9" x14ac:dyDescent="0.4">
      <c r="C578" s="154"/>
      <c r="D578" s="37"/>
      <c r="E578" s="37"/>
      <c r="F578" s="31"/>
      <c r="G578" s="31"/>
      <c r="H578" s="30"/>
      <c r="I578" s="29"/>
    </row>
    <row r="579" spans="3:9" x14ac:dyDescent="0.4">
      <c r="C579" s="154"/>
      <c r="D579" s="37"/>
      <c r="E579" s="37"/>
      <c r="F579" s="31"/>
      <c r="G579" s="31"/>
      <c r="H579" s="30"/>
      <c r="I579" s="29"/>
    </row>
    <row r="580" spans="3:9" x14ac:dyDescent="0.4">
      <c r="C580" s="154"/>
      <c r="D580" s="37"/>
      <c r="E580" s="37"/>
      <c r="F580" s="31"/>
      <c r="G580" s="31"/>
      <c r="H580" s="30"/>
      <c r="I580" s="29"/>
    </row>
    <row r="581" spans="3:9" x14ac:dyDescent="0.4">
      <c r="C581" s="154"/>
      <c r="D581" s="37"/>
      <c r="E581" s="37"/>
      <c r="F581" s="31"/>
      <c r="G581" s="31"/>
      <c r="H581" s="30"/>
      <c r="I581" s="29"/>
    </row>
    <row r="582" spans="3:9" x14ac:dyDescent="0.4">
      <c r="C582" s="154"/>
      <c r="D582" s="37"/>
      <c r="E582" s="37"/>
      <c r="F582" s="31"/>
      <c r="G582" s="31"/>
      <c r="H582" s="30"/>
      <c r="I582" s="29"/>
    </row>
    <row r="583" spans="3:9" x14ac:dyDescent="0.4">
      <c r="C583" s="154"/>
      <c r="D583" s="37"/>
      <c r="E583" s="37"/>
      <c r="F583" s="31"/>
      <c r="G583" s="31"/>
      <c r="H583" s="30"/>
      <c r="I583" s="29"/>
    </row>
    <row r="584" spans="3:9" x14ac:dyDescent="0.4">
      <c r="C584" s="154"/>
      <c r="D584" s="37"/>
      <c r="E584" s="37"/>
      <c r="F584" s="31"/>
      <c r="G584" s="31"/>
      <c r="H584" s="30"/>
      <c r="I584" s="29"/>
    </row>
    <row r="585" spans="3:9" x14ac:dyDescent="0.4">
      <c r="C585" s="154"/>
      <c r="D585" s="37"/>
      <c r="E585" s="37"/>
      <c r="F585" s="31"/>
      <c r="G585" s="31"/>
      <c r="H585" s="30"/>
      <c r="I585" s="29"/>
    </row>
    <row r="586" spans="3:9" x14ac:dyDescent="0.4">
      <c r="C586" s="154"/>
      <c r="D586" s="37"/>
      <c r="E586" s="37"/>
      <c r="F586" s="31"/>
      <c r="G586" s="31"/>
      <c r="H586" s="30"/>
      <c r="I586" s="29"/>
    </row>
    <row r="587" spans="3:9" x14ac:dyDescent="0.4">
      <c r="C587" s="154"/>
      <c r="D587" s="37"/>
      <c r="E587" s="37"/>
      <c r="F587" s="31"/>
      <c r="G587" s="31"/>
      <c r="H587" s="30"/>
      <c r="I587" s="29"/>
    </row>
    <row r="588" spans="3:9" x14ac:dyDescent="0.4">
      <c r="C588" s="154"/>
      <c r="D588" s="37"/>
      <c r="E588" s="37"/>
      <c r="F588" s="31"/>
      <c r="G588" s="31"/>
      <c r="H588" s="30"/>
      <c r="I588" s="29"/>
    </row>
    <row r="589" spans="3:9" x14ac:dyDescent="0.4">
      <c r="C589" s="154"/>
      <c r="D589" s="37"/>
      <c r="E589" s="37"/>
      <c r="F589" s="31"/>
      <c r="G589" s="31"/>
      <c r="H589" s="30"/>
      <c r="I589" s="29"/>
    </row>
    <row r="590" spans="3:9" x14ac:dyDescent="0.4">
      <c r="C590" s="154"/>
      <c r="D590" s="37"/>
      <c r="E590" s="37"/>
      <c r="F590" s="31"/>
      <c r="G590" s="31"/>
      <c r="H590" s="30"/>
      <c r="I590" s="29"/>
    </row>
    <row r="591" spans="3:9" x14ac:dyDescent="0.4">
      <c r="C591" s="154"/>
      <c r="D591" s="37"/>
      <c r="E591" s="37"/>
      <c r="F591" s="31"/>
      <c r="G591" s="31"/>
      <c r="H591" s="30"/>
      <c r="I591" s="29"/>
    </row>
    <row r="592" spans="3:9" x14ac:dyDescent="0.4">
      <c r="C592" s="154"/>
      <c r="D592" s="37"/>
      <c r="E592" s="37"/>
      <c r="F592" s="31"/>
      <c r="G592" s="31"/>
      <c r="H592" s="30"/>
      <c r="I592" s="29"/>
    </row>
    <row r="593" spans="3:9" x14ac:dyDescent="0.4">
      <c r="C593" s="154"/>
      <c r="D593" s="37"/>
      <c r="E593" s="37"/>
      <c r="F593" s="31"/>
      <c r="G593" s="31"/>
      <c r="H593" s="30"/>
      <c r="I593" s="29"/>
    </row>
    <row r="594" spans="3:9" x14ac:dyDescent="0.4">
      <c r="C594" s="154"/>
      <c r="D594" s="37"/>
      <c r="E594" s="37"/>
      <c r="F594" s="31"/>
      <c r="G594" s="31"/>
      <c r="H594" s="30"/>
      <c r="I594" s="29"/>
    </row>
    <row r="595" spans="3:9" x14ac:dyDescent="0.4">
      <c r="C595" s="154"/>
      <c r="D595" s="37"/>
      <c r="E595" s="37"/>
      <c r="F595" s="31"/>
      <c r="G595" s="31"/>
      <c r="H595" s="30"/>
      <c r="I595" s="29"/>
    </row>
    <row r="596" spans="3:9" x14ac:dyDescent="0.4">
      <c r="C596" s="154"/>
      <c r="D596" s="37"/>
      <c r="E596" s="37"/>
      <c r="F596" s="31"/>
      <c r="G596" s="31"/>
      <c r="H596" s="30"/>
      <c r="I596" s="29"/>
    </row>
    <row r="597" spans="3:9" x14ac:dyDescent="0.4">
      <c r="C597" s="154"/>
      <c r="D597" s="37"/>
      <c r="E597" s="37"/>
      <c r="F597" s="31"/>
      <c r="G597" s="31"/>
      <c r="H597" s="30"/>
      <c r="I597" s="29"/>
    </row>
    <row r="598" spans="3:9" x14ac:dyDescent="0.4">
      <c r="C598" s="154"/>
      <c r="D598" s="37"/>
      <c r="E598" s="37"/>
      <c r="F598" s="31"/>
      <c r="G598" s="31"/>
      <c r="H598" s="30"/>
      <c r="I598" s="29"/>
    </row>
    <row r="599" spans="3:9" x14ac:dyDescent="0.4">
      <c r="C599" s="154"/>
      <c r="D599" s="37"/>
      <c r="E599" s="37"/>
      <c r="F599" s="31"/>
      <c r="G599" s="31"/>
      <c r="H599" s="30"/>
      <c r="I599" s="29"/>
    </row>
    <row r="600" spans="3:9" x14ac:dyDescent="0.4">
      <c r="C600" s="154"/>
      <c r="D600" s="37"/>
      <c r="E600" s="37"/>
      <c r="F600" s="31"/>
      <c r="G600" s="31"/>
      <c r="H600" s="30"/>
      <c r="I600" s="29"/>
    </row>
    <row r="601" spans="3:9" x14ac:dyDescent="0.4">
      <c r="C601" s="154"/>
      <c r="D601" s="37"/>
      <c r="E601" s="37"/>
      <c r="F601" s="31"/>
      <c r="G601" s="31"/>
      <c r="H601" s="30"/>
      <c r="I601" s="29"/>
    </row>
    <row r="602" spans="3:9" x14ac:dyDescent="0.4">
      <c r="C602" s="154"/>
      <c r="D602" s="37"/>
      <c r="E602" s="37"/>
      <c r="F602" s="31"/>
      <c r="G602" s="31"/>
      <c r="H602" s="30"/>
      <c r="I602" s="29"/>
    </row>
    <row r="603" spans="3:9" x14ac:dyDescent="0.4">
      <c r="C603" s="154"/>
      <c r="D603" s="37"/>
      <c r="E603" s="37"/>
      <c r="F603" s="31"/>
      <c r="G603" s="31"/>
      <c r="H603" s="30"/>
      <c r="I603" s="29"/>
    </row>
    <row r="604" spans="3:9" x14ac:dyDescent="0.4">
      <c r="C604" s="154"/>
      <c r="D604" s="37"/>
      <c r="E604" s="37"/>
      <c r="F604" s="31"/>
      <c r="G604" s="31"/>
      <c r="H604" s="30"/>
      <c r="I604" s="29"/>
    </row>
    <row r="605" spans="3:9" x14ac:dyDescent="0.4">
      <c r="C605" s="154"/>
      <c r="D605" s="37"/>
      <c r="E605" s="37"/>
      <c r="F605" s="31"/>
      <c r="G605" s="31"/>
      <c r="H605" s="30"/>
      <c r="I605" s="29"/>
    </row>
    <row r="606" spans="3:9" x14ac:dyDescent="0.4">
      <c r="C606" s="154"/>
      <c r="D606" s="37"/>
      <c r="E606" s="37"/>
      <c r="F606" s="31"/>
      <c r="G606" s="31"/>
      <c r="H606" s="30"/>
      <c r="I606" s="29"/>
    </row>
    <row r="607" spans="3:9" x14ac:dyDescent="0.4">
      <c r="C607" s="154"/>
      <c r="D607" s="37"/>
      <c r="E607" s="37"/>
      <c r="F607" s="31"/>
      <c r="G607" s="31"/>
      <c r="H607" s="30"/>
      <c r="I607" s="29"/>
    </row>
    <row r="608" spans="3:9" x14ac:dyDescent="0.4">
      <c r="C608" s="154"/>
      <c r="D608" s="37"/>
      <c r="E608" s="37"/>
      <c r="F608" s="31"/>
      <c r="G608" s="31"/>
      <c r="H608" s="30"/>
      <c r="I608" s="29"/>
    </row>
    <row r="609" spans="3:9" x14ac:dyDescent="0.4">
      <c r="C609" s="154"/>
      <c r="D609" s="37"/>
      <c r="E609" s="37"/>
      <c r="F609" s="31"/>
      <c r="G609" s="31"/>
      <c r="H609" s="30"/>
      <c r="I609" s="29"/>
    </row>
    <row r="610" spans="3:9" x14ac:dyDescent="0.4">
      <c r="C610" s="154"/>
      <c r="D610" s="37"/>
      <c r="E610" s="37"/>
      <c r="F610" s="31"/>
      <c r="G610" s="31"/>
      <c r="H610" s="30"/>
      <c r="I610" s="29"/>
    </row>
    <row r="611" spans="3:9" x14ac:dyDescent="0.4">
      <c r="C611" s="154"/>
      <c r="D611" s="37"/>
      <c r="E611" s="37"/>
      <c r="F611" s="31"/>
      <c r="G611" s="31"/>
      <c r="H611" s="30"/>
      <c r="I611" s="29"/>
    </row>
    <row r="612" spans="3:9" x14ac:dyDescent="0.4">
      <c r="C612" s="154"/>
      <c r="D612" s="37"/>
      <c r="E612" s="37"/>
      <c r="F612" s="31"/>
      <c r="G612" s="31"/>
      <c r="H612" s="30"/>
      <c r="I612" s="29"/>
    </row>
    <row r="613" spans="3:9" x14ac:dyDescent="0.4">
      <c r="C613" s="154"/>
      <c r="D613" s="37"/>
      <c r="E613" s="37"/>
      <c r="F613" s="31"/>
      <c r="G613" s="31"/>
      <c r="H613" s="30"/>
      <c r="I613" s="29"/>
    </row>
    <row r="614" spans="3:9" x14ac:dyDescent="0.4">
      <c r="C614" s="154"/>
      <c r="D614" s="37"/>
      <c r="E614" s="37"/>
      <c r="F614" s="31"/>
      <c r="G614" s="31"/>
      <c r="H614" s="30"/>
      <c r="I614" s="29"/>
    </row>
    <row r="615" spans="3:9" x14ac:dyDescent="0.4">
      <c r="C615" s="154"/>
      <c r="D615" s="37"/>
      <c r="E615" s="37"/>
      <c r="F615" s="31"/>
      <c r="G615" s="31"/>
      <c r="H615" s="30"/>
      <c r="I615" s="29"/>
    </row>
    <row r="616" spans="3:9" x14ac:dyDescent="0.4">
      <c r="C616" s="154"/>
      <c r="D616" s="37"/>
      <c r="E616" s="37"/>
      <c r="F616" s="31"/>
      <c r="G616" s="31"/>
      <c r="H616" s="30"/>
      <c r="I616" s="29"/>
    </row>
    <row r="617" spans="3:9" x14ac:dyDescent="0.4">
      <c r="C617" s="154"/>
      <c r="D617" s="37"/>
      <c r="E617" s="37"/>
      <c r="F617" s="31"/>
      <c r="G617" s="31"/>
      <c r="H617" s="30"/>
      <c r="I617" s="29"/>
    </row>
    <row r="618" spans="3:9" x14ac:dyDescent="0.4">
      <c r="C618" s="154"/>
      <c r="D618" s="37"/>
      <c r="E618" s="37"/>
      <c r="F618" s="31"/>
      <c r="G618" s="31"/>
      <c r="H618" s="30"/>
      <c r="I618" s="29"/>
    </row>
    <row r="619" spans="3:9" x14ac:dyDescent="0.4">
      <c r="C619" s="154"/>
      <c r="D619" s="37"/>
      <c r="E619" s="37"/>
      <c r="F619" s="31"/>
      <c r="G619" s="31"/>
      <c r="H619" s="30"/>
      <c r="I619" s="29"/>
    </row>
    <row r="620" spans="3:9" x14ac:dyDescent="0.4">
      <c r="C620" s="154"/>
      <c r="D620" s="37"/>
      <c r="E620" s="37"/>
      <c r="F620" s="31"/>
      <c r="G620" s="31"/>
      <c r="H620" s="30"/>
      <c r="I620" s="29"/>
    </row>
    <row r="621" spans="3:9" x14ac:dyDescent="0.4">
      <c r="C621" s="154"/>
      <c r="D621" s="37"/>
      <c r="E621" s="37"/>
      <c r="F621" s="31"/>
      <c r="G621" s="31"/>
      <c r="H621" s="30"/>
      <c r="I621" s="29"/>
    </row>
    <row r="622" spans="3:9" x14ac:dyDescent="0.4">
      <c r="C622" s="154"/>
      <c r="D622" s="37"/>
      <c r="E622" s="37"/>
      <c r="F622" s="31"/>
      <c r="G622" s="31"/>
      <c r="H622" s="30"/>
      <c r="I622" s="29"/>
    </row>
    <row r="623" spans="3:9" x14ac:dyDescent="0.4">
      <c r="C623" s="154"/>
      <c r="D623" s="37"/>
      <c r="E623" s="37"/>
      <c r="F623" s="31"/>
      <c r="G623" s="31"/>
      <c r="H623" s="30"/>
      <c r="I623" s="29"/>
    </row>
    <row r="624" spans="3:9" x14ac:dyDescent="0.4">
      <c r="C624" s="154"/>
      <c r="D624" s="37"/>
      <c r="E624" s="37"/>
      <c r="F624" s="31"/>
      <c r="G624" s="31"/>
      <c r="H624" s="30"/>
      <c r="I624" s="29"/>
    </row>
    <row r="625" spans="3:9" x14ac:dyDescent="0.4">
      <c r="C625" s="154"/>
      <c r="D625" s="37"/>
      <c r="E625" s="37"/>
      <c r="F625" s="31"/>
      <c r="G625" s="31"/>
      <c r="H625" s="30"/>
      <c r="I625" s="29"/>
    </row>
    <row r="626" spans="3:9" x14ac:dyDescent="0.4">
      <c r="C626" s="154"/>
      <c r="D626" s="37"/>
      <c r="E626" s="37"/>
      <c r="F626" s="31"/>
      <c r="G626" s="31"/>
      <c r="H626" s="30"/>
      <c r="I626" s="29"/>
    </row>
    <row r="627" spans="3:9" x14ac:dyDescent="0.4">
      <c r="C627" s="154"/>
      <c r="D627" s="37"/>
      <c r="E627" s="37"/>
      <c r="F627" s="31"/>
      <c r="G627" s="31"/>
      <c r="H627" s="30"/>
      <c r="I627" s="29"/>
    </row>
    <row r="628" spans="3:9" x14ac:dyDescent="0.4">
      <c r="C628" s="154"/>
      <c r="D628" s="37"/>
      <c r="E628" s="37"/>
      <c r="F628" s="31"/>
      <c r="G628" s="31"/>
      <c r="H628" s="30"/>
      <c r="I628" s="29"/>
    </row>
    <row r="629" spans="3:9" x14ac:dyDescent="0.4">
      <c r="C629" s="154"/>
      <c r="D629" s="37"/>
      <c r="E629" s="37"/>
      <c r="F629" s="31"/>
      <c r="G629" s="31"/>
      <c r="H629" s="30"/>
      <c r="I629" s="29"/>
    </row>
    <row r="630" spans="3:9" x14ac:dyDescent="0.4">
      <c r="C630" s="154"/>
      <c r="D630" s="37"/>
      <c r="E630" s="37"/>
      <c r="F630" s="31"/>
      <c r="G630" s="31"/>
      <c r="H630" s="30"/>
      <c r="I630" s="29"/>
    </row>
    <row r="631" spans="3:9" x14ac:dyDescent="0.4">
      <c r="C631" s="154"/>
      <c r="D631" s="37"/>
      <c r="E631" s="37"/>
      <c r="F631" s="31"/>
      <c r="G631" s="31"/>
      <c r="H631" s="30"/>
      <c r="I631" s="29"/>
    </row>
    <row r="632" spans="3:9" x14ac:dyDescent="0.4">
      <c r="C632" s="154"/>
      <c r="D632" s="37"/>
      <c r="E632" s="37"/>
      <c r="F632" s="31"/>
      <c r="G632" s="31"/>
      <c r="H632" s="30"/>
      <c r="I632" s="29"/>
    </row>
    <row r="633" spans="3:9" x14ac:dyDescent="0.4">
      <c r="C633" s="154"/>
      <c r="D633" s="37"/>
      <c r="E633" s="37"/>
      <c r="F633" s="31"/>
      <c r="G633" s="31"/>
      <c r="H633" s="30"/>
      <c r="I633" s="29"/>
    </row>
    <row r="634" spans="3:9" x14ac:dyDescent="0.4">
      <c r="C634" s="154"/>
      <c r="D634" s="37"/>
      <c r="E634" s="37"/>
      <c r="F634" s="31"/>
      <c r="G634" s="31"/>
      <c r="H634" s="30"/>
      <c r="I634" s="29"/>
    </row>
    <row r="635" spans="3:9" x14ac:dyDescent="0.4">
      <c r="C635" s="154"/>
      <c r="D635" s="37"/>
      <c r="E635" s="37"/>
      <c r="F635" s="31"/>
      <c r="G635" s="31"/>
      <c r="H635" s="30"/>
      <c r="I635" s="29"/>
    </row>
    <row r="636" spans="3:9" x14ac:dyDescent="0.4">
      <c r="C636" s="154"/>
      <c r="D636" s="37"/>
      <c r="E636" s="37"/>
      <c r="F636" s="31"/>
      <c r="G636" s="31"/>
      <c r="H636" s="30"/>
      <c r="I636" s="29"/>
    </row>
    <row r="637" spans="3:9" x14ac:dyDescent="0.4">
      <c r="C637" s="154"/>
      <c r="D637" s="37"/>
      <c r="E637" s="37"/>
      <c r="F637" s="31"/>
      <c r="G637" s="31"/>
      <c r="H637" s="30"/>
      <c r="I637" s="29"/>
    </row>
    <row r="638" spans="3:9" x14ac:dyDescent="0.4">
      <c r="C638" s="154"/>
      <c r="D638" s="37"/>
      <c r="E638" s="37"/>
      <c r="F638" s="31"/>
      <c r="G638" s="31"/>
      <c r="H638" s="30"/>
      <c r="I638" s="29"/>
    </row>
    <row r="639" spans="3:9" x14ac:dyDescent="0.4">
      <c r="C639" s="154"/>
      <c r="D639" s="37"/>
      <c r="E639" s="37"/>
      <c r="F639" s="31"/>
      <c r="G639" s="31"/>
      <c r="H639" s="30"/>
      <c r="I639" s="29"/>
    </row>
    <row r="640" spans="3:9" x14ac:dyDescent="0.4">
      <c r="C640" s="154"/>
      <c r="D640" s="37"/>
      <c r="E640" s="37"/>
      <c r="F640" s="31"/>
      <c r="G640" s="31"/>
      <c r="H640" s="30"/>
      <c r="I640" s="29"/>
    </row>
    <row r="641" spans="3:9" x14ac:dyDescent="0.4">
      <c r="C641" s="154"/>
      <c r="D641" s="37"/>
      <c r="E641" s="37"/>
      <c r="F641" s="31"/>
      <c r="G641" s="31"/>
      <c r="H641" s="30"/>
      <c r="I641" s="29"/>
    </row>
    <row r="642" spans="3:9" x14ac:dyDescent="0.4">
      <c r="C642" s="154"/>
      <c r="D642" s="37"/>
      <c r="E642" s="37"/>
      <c r="F642" s="31"/>
      <c r="G642" s="31"/>
      <c r="H642" s="30"/>
      <c r="I642" s="29"/>
    </row>
    <row r="643" spans="3:9" x14ac:dyDescent="0.4">
      <c r="C643" s="154"/>
      <c r="D643" s="37"/>
      <c r="E643" s="37"/>
      <c r="F643" s="31"/>
      <c r="G643" s="31"/>
      <c r="H643" s="30"/>
      <c r="I643" s="29"/>
    </row>
    <row r="644" spans="3:9" x14ac:dyDescent="0.4">
      <c r="C644" s="154"/>
      <c r="D644" s="37"/>
      <c r="E644" s="37"/>
      <c r="F644" s="31"/>
      <c r="G644" s="31"/>
      <c r="H644" s="30"/>
      <c r="I644" s="29"/>
    </row>
    <row r="645" spans="3:9" x14ac:dyDescent="0.4">
      <c r="C645" s="154"/>
      <c r="D645" s="37"/>
      <c r="E645" s="37"/>
      <c r="F645" s="31"/>
      <c r="G645" s="31"/>
      <c r="H645" s="30"/>
      <c r="I645" s="29"/>
    </row>
    <row r="646" spans="3:9" x14ac:dyDescent="0.4">
      <c r="C646" s="154"/>
      <c r="D646" s="37"/>
      <c r="E646" s="37"/>
      <c r="F646" s="31"/>
      <c r="G646" s="31"/>
      <c r="H646" s="30"/>
      <c r="I646" s="29"/>
    </row>
    <row r="647" spans="3:9" x14ac:dyDescent="0.4">
      <c r="C647" s="154"/>
      <c r="D647" s="37"/>
      <c r="E647" s="37"/>
      <c r="F647" s="31"/>
      <c r="G647" s="31"/>
      <c r="H647" s="30"/>
      <c r="I647" s="29"/>
    </row>
    <row r="648" spans="3:9" x14ac:dyDescent="0.4">
      <c r="C648" s="154"/>
      <c r="D648" s="37"/>
      <c r="E648" s="37"/>
      <c r="F648" s="31"/>
      <c r="G648" s="31"/>
      <c r="H648" s="30"/>
      <c r="I648" s="29"/>
    </row>
    <row r="649" spans="3:9" x14ac:dyDescent="0.4">
      <c r="C649" s="154"/>
      <c r="D649" s="37"/>
      <c r="E649" s="37"/>
      <c r="F649" s="31"/>
      <c r="G649" s="31"/>
      <c r="H649" s="30"/>
      <c r="I649" s="29"/>
    </row>
    <row r="650" spans="3:9" x14ac:dyDescent="0.4">
      <c r="C650" s="154"/>
      <c r="D650" s="37"/>
      <c r="E650" s="37"/>
      <c r="F650" s="31"/>
      <c r="G650" s="31"/>
      <c r="H650" s="30"/>
      <c r="I650" s="29"/>
    </row>
    <row r="651" spans="3:9" x14ac:dyDescent="0.4">
      <c r="C651" s="154"/>
      <c r="D651" s="37"/>
      <c r="E651" s="37"/>
      <c r="F651" s="31"/>
      <c r="G651" s="31"/>
      <c r="H651" s="30"/>
      <c r="I651" s="29"/>
    </row>
    <row r="652" spans="3:9" x14ac:dyDescent="0.4">
      <c r="C652" s="154"/>
      <c r="D652" s="37"/>
      <c r="E652" s="37"/>
      <c r="F652" s="31"/>
      <c r="G652" s="31"/>
      <c r="H652" s="30"/>
      <c r="I652" s="29"/>
    </row>
    <row r="653" spans="3:9" x14ac:dyDescent="0.4">
      <c r="C653" s="154"/>
      <c r="D653" s="37"/>
      <c r="E653" s="37"/>
      <c r="F653" s="31"/>
      <c r="G653" s="31"/>
      <c r="H653" s="30"/>
      <c r="I653" s="29"/>
    </row>
    <row r="654" spans="3:9" x14ac:dyDescent="0.4">
      <c r="C654" s="154"/>
      <c r="D654" s="37"/>
      <c r="E654" s="37"/>
      <c r="F654" s="31"/>
      <c r="G654" s="31"/>
      <c r="H654" s="30"/>
      <c r="I654" s="29"/>
    </row>
    <row r="655" spans="3:9" x14ac:dyDescent="0.4">
      <c r="C655" s="154"/>
      <c r="D655" s="37"/>
      <c r="E655" s="37"/>
      <c r="F655" s="31"/>
      <c r="G655" s="31"/>
      <c r="H655" s="30"/>
      <c r="I655" s="29"/>
    </row>
    <row r="656" spans="3:9" x14ac:dyDescent="0.4">
      <c r="C656" s="154"/>
      <c r="D656" s="37"/>
      <c r="E656" s="37"/>
      <c r="F656" s="31"/>
      <c r="G656" s="31"/>
      <c r="H656" s="30"/>
      <c r="I656" s="29"/>
    </row>
    <row r="657" spans="3:9" x14ac:dyDescent="0.4">
      <c r="C657" s="154"/>
      <c r="D657" s="37"/>
      <c r="E657" s="37"/>
      <c r="F657" s="31"/>
      <c r="G657" s="31"/>
      <c r="H657" s="30"/>
      <c r="I657" s="29"/>
    </row>
    <row r="658" spans="3:9" x14ac:dyDescent="0.4">
      <c r="C658" s="154"/>
      <c r="D658" s="37"/>
      <c r="E658" s="37"/>
      <c r="F658" s="31"/>
      <c r="G658" s="31"/>
      <c r="H658" s="30"/>
      <c r="I658" s="29"/>
    </row>
    <row r="659" spans="3:9" x14ac:dyDescent="0.4">
      <c r="C659" s="154"/>
      <c r="D659" s="37"/>
      <c r="E659" s="37"/>
      <c r="F659" s="31"/>
      <c r="G659" s="31"/>
      <c r="H659" s="30"/>
      <c r="I659" s="29"/>
    </row>
    <row r="660" spans="3:9" x14ac:dyDescent="0.4">
      <c r="C660" s="154"/>
      <c r="D660" s="37"/>
      <c r="E660" s="37"/>
      <c r="F660" s="31"/>
      <c r="G660" s="31"/>
      <c r="H660" s="30"/>
      <c r="I660" s="29"/>
    </row>
    <row r="661" spans="3:9" x14ac:dyDescent="0.4">
      <c r="C661" s="154"/>
      <c r="D661" s="37"/>
      <c r="E661" s="37"/>
      <c r="F661" s="31"/>
      <c r="G661" s="31"/>
      <c r="H661" s="30"/>
      <c r="I661" s="29"/>
    </row>
    <row r="662" spans="3:9" x14ac:dyDescent="0.4">
      <c r="C662" s="154"/>
      <c r="D662" s="37"/>
      <c r="E662" s="37"/>
      <c r="F662" s="31"/>
      <c r="G662" s="31"/>
      <c r="H662" s="30"/>
      <c r="I662" s="29"/>
    </row>
    <row r="663" spans="3:9" x14ac:dyDescent="0.4">
      <c r="C663" s="154"/>
      <c r="D663" s="37"/>
      <c r="E663" s="37"/>
      <c r="F663" s="31"/>
      <c r="G663" s="31"/>
      <c r="H663" s="30"/>
      <c r="I663" s="29"/>
    </row>
    <row r="664" spans="3:9" x14ac:dyDescent="0.4">
      <c r="C664" s="154"/>
      <c r="D664" s="37"/>
      <c r="E664" s="37"/>
      <c r="F664" s="31"/>
      <c r="G664" s="31"/>
      <c r="H664" s="30"/>
      <c r="I664" s="29"/>
    </row>
    <row r="665" spans="3:9" x14ac:dyDescent="0.4">
      <c r="C665" s="154"/>
      <c r="D665" s="37"/>
      <c r="E665" s="37"/>
      <c r="F665" s="31"/>
      <c r="G665" s="31"/>
      <c r="H665" s="30"/>
      <c r="I665" s="29"/>
    </row>
    <row r="666" spans="3:9" x14ac:dyDescent="0.4">
      <c r="C666" s="154"/>
      <c r="D666" s="37"/>
      <c r="E666" s="37"/>
      <c r="F666" s="31"/>
      <c r="G666" s="31"/>
      <c r="H666" s="30"/>
      <c r="I666" s="29"/>
    </row>
    <row r="667" spans="3:9" x14ac:dyDescent="0.4">
      <c r="C667" s="154"/>
      <c r="D667" s="37"/>
      <c r="E667" s="37"/>
      <c r="F667" s="31"/>
      <c r="G667" s="31"/>
      <c r="H667" s="30"/>
      <c r="I667" s="29"/>
    </row>
    <row r="668" spans="3:9" x14ac:dyDescent="0.4">
      <c r="C668" s="154"/>
      <c r="D668" s="37"/>
      <c r="E668" s="37"/>
      <c r="F668" s="31"/>
      <c r="G668" s="31"/>
      <c r="H668" s="30"/>
      <c r="I668" s="29"/>
    </row>
    <row r="669" spans="3:9" x14ac:dyDescent="0.4">
      <c r="C669" s="154"/>
      <c r="D669" s="37"/>
      <c r="E669" s="37"/>
      <c r="F669" s="31"/>
      <c r="G669" s="31"/>
      <c r="H669" s="30"/>
      <c r="I669" s="29"/>
    </row>
    <row r="670" spans="3:9" x14ac:dyDescent="0.4">
      <c r="C670" s="154"/>
      <c r="D670" s="37"/>
      <c r="E670" s="37"/>
      <c r="F670" s="31"/>
      <c r="G670" s="31"/>
      <c r="H670" s="30"/>
      <c r="I670" s="29"/>
    </row>
    <row r="671" spans="3:9" x14ac:dyDescent="0.4">
      <c r="C671" s="154"/>
      <c r="D671" s="37"/>
      <c r="E671" s="37"/>
      <c r="F671" s="31"/>
      <c r="G671" s="31"/>
      <c r="H671" s="30"/>
      <c r="I671" s="29"/>
    </row>
    <row r="672" spans="3:9" x14ac:dyDescent="0.4">
      <c r="C672" s="154"/>
      <c r="D672" s="37"/>
      <c r="E672" s="37"/>
      <c r="F672" s="31"/>
      <c r="G672" s="31"/>
      <c r="H672" s="30"/>
      <c r="I672" s="29"/>
    </row>
    <row r="673" spans="3:9" x14ac:dyDescent="0.4">
      <c r="C673" s="154"/>
      <c r="D673" s="37"/>
      <c r="E673" s="37"/>
      <c r="F673" s="31"/>
      <c r="G673" s="31"/>
      <c r="H673" s="30"/>
      <c r="I673" s="29"/>
    </row>
    <row r="674" spans="3:9" x14ac:dyDescent="0.4">
      <c r="C674" s="154"/>
      <c r="D674" s="37"/>
      <c r="E674" s="37"/>
      <c r="F674" s="31"/>
      <c r="G674" s="31"/>
      <c r="H674" s="30"/>
      <c r="I674" s="29"/>
    </row>
    <row r="675" spans="3:9" x14ac:dyDescent="0.4">
      <c r="C675" s="154"/>
      <c r="D675" s="37"/>
      <c r="E675" s="37"/>
      <c r="F675" s="31"/>
      <c r="G675" s="31"/>
      <c r="H675" s="30"/>
      <c r="I675" s="29"/>
    </row>
    <row r="676" spans="3:9" x14ac:dyDescent="0.4">
      <c r="C676" s="154"/>
      <c r="D676" s="37"/>
      <c r="E676" s="37"/>
      <c r="F676" s="31"/>
      <c r="G676" s="31"/>
      <c r="H676" s="30"/>
      <c r="I676" s="29"/>
    </row>
    <row r="677" spans="3:9" x14ac:dyDescent="0.4">
      <c r="C677" s="154"/>
      <c r="D677" s="37"/>
      <c r="E677" s="37"/>
      <c r="F677" s="31"/>
      <c r="G677" s="31"/>
      <c r="H677" s="30"/>
      <c r="I677" s="29"/>
    </row>
    <row r="678" spans="3:9" x14ac:dyDescent="0.4">
      <c r="C678" s="154"/>
      <c r="D678" s="37"/>
      <c r="E678" s="37"/>
      <c r="F678" s="31"/>
      <c r="G678" s="31"/>
      <c r="H678" s="30"/>
      <c r="I678" s="29"/>
    </row>
    <row r="679" spans="3:9" x14ac:dyDescent="0.4">
      <c r="C679" s="154"/>
      <c r="D679" s="37"/>
      <c r="E679" s="37"/>
      <c r="F679" s="31"/>
      <c r="G679" s="31"/>
      <c r="H679" s="30"/>
      <c r="I679" s="29"/>
    </row>
    <row r="680" spans="3:9" x14ac:dyDescent="0.4">
      <c r="C680" s="154"/>
      <c r="D680" s="37"/>
      <c r="E680" s="37"/>
      <c r="F680" s="31"/>
      <c r="G680" s="31"/>
      <c r="H680" s="30"/>
      <c r="I680" s="29"/>
    </row>
    <row r="681" spans="3:9" x14ac:dyDescent="0.4">
      <c r="C681" s="154"/>
      <c r="D681" s="37"/>
      <c r="E681" s="37"/>
      <c r="F681" s="31"/>
      <c r="G681" s="31"/>
      <c r="H681" s="30"/>
      <c r="I681" s="29"/>
    </row>
    <row r="682" spans="3:9" x14ac:dyDescent="0.4">
      <c r="C682" s="154"/>
      <c r="D682" s="37"/>
      <c r="E682" s="37"/>
      <c r="F682" s="31"/>
      <c r="G682" s="31"/>
      <c r="H682" s="30"/>
      <c r="I682" s="29"/>
    </row>
    <row r="683" spans="3:9" x14ac:dyDescent="0.4">
      <c r="C683" s="154"/>
      <c r="D683" s="37"/>
      <c r="E683" s="37"/>
      <c r="F683" s="31"/>
      <c r="G683" s="31"/>
      <c r="H683" s="30"/>
      <c r="I683" s="29"/>
    </row>
    <row r="684" spans="3:9" x14ac:dyDescent="0.4">
      <c r="C684" s="154"/>
      <c r="D684" s="37"/>
      <c r="E684" s="37"/>
      <c r="F684" s="31"/>
      <c r="G684" s="31"/>
      <c r="H684" s="30"/>
      <c r="I684" s="29"/>
    </row>
    <row r="685" spans="3:9" x14ac:dyDescent="0.4">
      <c r="C685" s="154"/>
      <c r="D685" s="37"/>
      <c r="E685" s="37"/>
      <c r="F685" s="31"/>
      <c r="G685" s="31"/>
      <c r="H685" s="30"/>
      <c r="I685" s="29"/>
    </row>
    <row r="686" spans="3:9" x14ac:dyDescent="0.4">
      <c r="C686" s="154"/>
      <c r="D686" s="37"/>
      <c r="E686" s="37"/>
      <c r="F686" s="31"/>
      <c r="G686" s="31"/>
      <c r="H686" s="30"/>
      <c r="I686" s="29"/>
    </row>
    <row r="687" spans="3:9" x14ac:dyDescent="0.4">
      <c r="C687" s="154"/>
      <c r="D687" s="37"/>
      <c r="E687" s="37"/>
      <c r="F687" s="31"/>
      <c r="G687" s="31"/>
      <c r="H687" s="30"/>
      <c r="I687" s="29"/>
    </row>
    <row r="688" spans="3:9" x14ac:dyDescent="0.4">
      <c r="C688" s="154"/>
      <c r="D688" s="37"/>
      <c r="E688" s="37"/>
      <c r="F688" s="31"/>
      <c r="G688" s="31"/>
      <c r="H688" s="30"/>
      <c r="I688" s="29"/>
    </row>
    <row r="689" spans="3:9" x14ac:dyDescent="0.4">
      <c r="C689" s="154"/>
      <c r="D689" s="37"/>
      <c r="E689" s="37"/>
      <c r="F689" s="31"/>
      <c r="G689" s="31"/>
      <c r="H689" s="30"/>
      <c r="I689" s="29"/>
    </row>
    <row r="690" spans="3:9" x14ac:dyDescent="0.4">
      <c r="C690" s="154"/>
      <c r="D690" s="37"/>
      <c r="E690" s="37"/>
      <c r="F690" s="31"/>
      <c r="G690" s="31"/>
      <c r="H690" s="30"/>
      <c r="I690" s="29"/>
    </row>
    <row r="691" spans="3:9" x14ac:dyDescent="0.4">
      <c r="C691" s="154"/>
      <c r="D691" s="37"/>
      <c r="E691" s="37"/>
      <c r="F691" s="31"/>
      <c r="G691" s="31"/>
      <c r="H691" s="30"/>
      <c r="I691" s="29"/>
    </row>
    <row r="692" spans="3:9" x14ac:dyDescent="0.4">
      <c r="C692" s="154"/>
      <c r="D692" s="37"/>
      <c r="E692" s="37"/>
      <c r="F692" s="31"/>
      <c r="G692" s="31"/>
      <c r="H692" s="30"/>
      <c r="I692" s="29"/>
    </row>
    <row r="693" spans="3:9" x14ac:dyDescent="0.4">
      <c r="C693" s="154"/>
      <c r="D693" s="37"/>
      <c r="E693" s="37"/>
      <c r="F693" s="31"/>
      <c r="G693" s="31"/>
      <c r="H693" s="30"/>
      <c r="I693" s="29"/>
    </row>
    <row r="694" spans="3:9" x14ac:dyDescent="0.4">
      <c r="C694" s="154"/>
      <c r="D694" s="37"/>
      <c r="E694" s="37"/>
      <c r="F694" s="31"/>
      <c r="G694" s="31"/>
      <c r="H694" s="30"/>
      <c r="I694" s="29"/>
    </row>
    <row r="695" spans="3:9" x14ac:dyDescent="0.4">
      <c r="C695" s="154"/>
      <c r="D695" s="37"/>
      <c r="E695" s="37"/>
      <c r="F695" s="31"/>
      <c r="G695" s="31"/>
      <c r="H695" s="30"/>
      <c r="I695" s="29"/>
    </row>
    <row r="696" spans="3:9" x14ac:dyDescent="0.4">
      <c r="C696" s="154"/>
      <c r="D696" s="37"/>
      <c r="E696" s="37"/>
      <c r="F696" s="31"/>
      <c r="G696" s="31"/>
      <c r="H696" s="30"/>
      <c r="I696" s="29"/>
    </row>
    <row r="697" spans="3:9" x14ac:dyDescent="0.4">
      <c r="C697" s="154"/>
      <c r="D697" s="37"/>
      <c r="E697" s="37"/>
      <c r="F697" s="31"/>
      <c r="G697" s="31"/>
      <c r="H697" s="30"/>
      <c r="I697" s="29"/>
    </row>
    <row r="698" spans="3:9" x14ac:dyDescent="0.4">
      <c r="C698" s="154"/>
      <c r="D698" s="37"/>
      <c r="E698" s="37"/>
      <c r="F698" s="31"/>
      <c r="G698" s="31"/>
      <c r="H698" s="30"/>
      <c r="I698" s="29"/>
    </row>
    <row r="699" spans="3:9" x14ac:dyDescent="0.4">
      <c r="C699" s="154"/>
      <c r="D699" s="37"/>
      <c r="E699" s="37"/>
      <c r="F699" s="31"/>
      <c r="G699" s="31"/>
      <c r="H699" s="30"/>
      <c r="I699" s="29"/>
    </row>
    <row r="700" spans="3:9" x14ac:dyDescent="0.4">
      <c r="C700" s="154"/>
      <c r="D700" s="37"/>
      <c r="E700" s="37"/>
      <c r="F700" s="31"/>
      <c r="G700" s="31"/>
      <c r="H700" s="30"/>
      <c r="I700" s="29"/>
    </row>
    <row r="701" spans="3:9" x14ac:dyDescent="0.4">
      <c r="C701" s="154"/>
      <c r="D701" s="37"/>
      <c r="E701" s="37"/>
      <c r="F701" s="31"/>
      <c r="G701" s="31"/>
      <c r="H701" s="30"/>
      <c r="I701" s="29"/>
    </row>
    <row r="702" spans="3:9" x14ac:dyDescent="0.4">
      <c r="C702" s="154"/>
      <c r="D702" s="37"/>
      <c r="E702" s="37"/>
      <c r="F702" s="31"/>
      <c r="G702" s="31"/>
      <c r="H702" s="30"/>
      <c r="I702" s="29"/>
    </row>
    <row r="703" spans="3:9" x14ac:dyDescent="0.4">
      <c r="C703" s="154"/>
      <c r="D703" s="37"/>
      <c r="E703" s="37"/>
      <c r="F703" s="31"/>
      <c r="G703" s="31"/>
      <c r="H703" s="30"/>
      <c r="I703" s="29"/>
    </row>
    <row r="704" spans="3:9" x14ac:dyDescent="0.4">
      <c r="C704" s="154"/>
      <c r="D704" s="37"/>
      <c r="E704" s="37"/>
      <c r="F704" s="31"/>
      <c r="G704" s="31"/>
      <c r="H704" s="30"/>
      <c r="I704" s="29"/>
    </row>
    <row r="705" spans="3:9" x14ac:dyDescent="0.4">
      <c r="C705" s="154"/>
      <c r="D705" s="37"/>
      <c r="E705" s="37"/>
      <c r="F705" s="31"/>
      <c r="G705" s="31"/>
      <c r="H705" s="30"/>
      <c r="I705" s="29"/>
    </row>
    <row r="706" spans="3:9" x14ac:dyDescent="0.4">
      <c r="C706" s="154"/>
      <c r="D706" s="37"/>
      <c r="E706" s="37"/>
      <c r="F706" s="31"/>
      <c r="G706" s="31"/>
      <c r="H706" s="30"/>
      <c r="I706" s="29"/>
    </row>
    <row r="707" spans="3:9" x14ac:dyDescent="0.4">
      <c r="C707" s="154"/>
      <c r="D707" s="37"/>
      <c r="E707" s="37"/>
      <c r="F707" s="31"/>
      <c r="G707" s="31"/>
      <c r="H707" s="30"/>
      <c r="I707" s="29"/>
    </row>
    <row r="708" spans="3:9" x14ac:dyDescent="0.4">
      <c r="C708" s="154"/>
      <c r="D708" s="37"/>
      <c r="E708" s="37"/>
      <c r="F708" s="31"/>
      <c r="G708" s="31"/>
      <c r="H708" s="30"/>
      <c r="I708" s="29"/>
    </row>
    <row r="709" spans="3:9" x14ac:dyDescent="0.4">
      <c r="C709" s="154"/>
      <c r="D709" s="37"/>
      <c r="E709" s="37"/>
      <c r="F709" s="31"/>
      <c r="G709" s="31"/>
      <c r="H709" s="30"/>
      <c r="I709" s="29"/>
    </row>
    <row r="710" spans="3:9" x14ac:dyDescent="0.4">
      <c r="C710" s="154"/>
      <c r="D710" s="37"/>
      <c r="E710" s="37"/>
      <c r="F710" s="31"/>
      <c r="G710" s="31"/>
      <c r="H710" s="30"/>
      <c r="I710" s="29"/>
    </row>
    <row r="711" spans="3:9" x14ac:dyDescent="0.4">
      <c r="C711" s="154"/>
      <c r="D711" s="37"/>
      <c r="E711" s="37"/>
      <c r="F711" s="31"/>
      <c r="G711" s="31"/>
      <c r="H711" s="30"/>
      <c r="I711" s="29"/>
    </row>
    <row r="712" spans="3:9" x14ac:dyDescent="0.4">
      <c r="C712" s="154"/>
      <c r="D712" s="37"/>
      <c r="E712" s="37"/>
      <c r="F712" s="31"/>
      <c r="G712" s="31"/>
      <c r="H712" s="30"/>
      <c r="I712" s="29"/>
    </row>
    <row r="713" spans="3:9" x14ac:dyDescent="0.4">
      <c r="C713" s="154"/>
      <c r="D713" s="37"/>
      <c r="E713" s="37"/>
      <c r="F713" s="31"/>
      <c r="G713" s="31"/>
      <c r="H713" s="30"/>
      <c r="I713" s="29"/>
    </row>
    <row r="714" spans="3:9" x14ac:dyDescent="0.4">
      <c r="C714" s="154"/>
      <c r="D714" s="37"/>
      <c r="E714" s="37"/>
      <c r="F714" s="31"/>
      <c r="G714" s="31"/>
      <c r="H714" s="30"/>
      <c r="I714" s="29"/>
    </row>
    <row r="715" spans="3:9" x14ac:dyDescent="0.4">
      <c r="C715" s="154"/>
      <c r="D715" s="37"/>
      <c r="E715" s="37"/>
      <c r="F715" s="31"/>
      <c r="G715" s="31"/>
      <c r="H715" s="30"/>
      <c r="I715" s="29"/>
    </row>
    <row r="716" spans="3:9" x14ac:dyDescent="0.4">
      <c r="C716" s="154"/>
      <c r="D716" s="37"/>
      <c r="E716" s="37"/>
      <c r="F716" s="31"/>
      <c r="G716" s="31"/>
      <c r="H716" s="30"/>
      <c r="I716" s="29"/>
    </row>
    <row r="717" spans="3:9" x14ac:dyDescent="0.4">
      <c r="C717" s="154"/>
      <c r="D717" s="37"/>
      <c r="E717" s="37"/>
      <c r="F717" s="31"/>
      <c r="G717" s="31"/>
      <c r="H717" s="30"/>
      <c r="I717" s="29"/>
    </row>
    <row r="718" spans="3:9" x14ac:dyDescent="0.4">
      <c r="C718" s="154"/>
      <c r="D718" s="37"/>
      <c r="E718" s="37"/>
      <c r="F718" s="31"/>
      <c r="G718" s="31"/>
      <c r="H718" s="30"/>
      <c r="I718" s="29"/>
    </row>
    <row r="719" spans="3:9" x14ac:dyDescent="0.4">
      <c r="C719" s="154"/>
      <c r="D719" s="37"/>
      <c r="E719" s="37"/>
      <c r="F719" s="31"/>
      <c r="G719" s="31"/>
      <c r="H719" s="30"/>
      <c r="I719" s="29"/>
    </row>
    <row r="720" spans="3:9" x14ac:dyDescent="0.4">
      <c r="C720" s="154"/>
      <c r="D720" s="37"/>
      <c r="E720" s="37"/>
      <c r="F720" s="31"/>
      <c r="G720" s="31"/>
      <c r="H720" s="30"/>
      <c r="I720" s="29"/>
    </row>
    <row r="721" spans="3:9" x14ac:dyDescent="0.4">
      <c r="C721" s="154"/>
      <c r="D721" s="37"/>
      <c r="E721" s="37"/>
      <c r="F721" s="31"/>
      <c r="G721" s="31"/>
      <c r="H721" s="30"/>
      <c r="I721" s="29"/>
    </row>
    <row r="722" spans="3:9" x14ac:dyDescent="0.4">
      <c r="C722" s="154"/>
      <c r="D722" s="37"/>
      <c r="E722" s="37"/>
      <c r="F722" s="31"/>
      <c r="G722" s="31"/>
      <c r="H722" s="30"/>
      <c r="I722" s="29"/>
    </row>
    <row r="723" spans="3:9" x14ac:dyDescent="0.4">
      <c r="C723" s="154"/>
      <c r="D723" s="37"/>
      <c r="E723" s="37"/>
      <c r="F723" s="31"/>
      <c r="G723" s="31"/>
      <c r="H723" s="30"/>
      <c r="I723" s="29"/>
    </row>
    <row r="724" spans="3:9" x14ac:dyDescent="0.4">
      <c r="C724" s="154"/>
      <c r="D724" s="37"/>
      <c r="E724" s="37"/>
      <c r="F724" s="31"/>
      <c r="G724" s="31"/>
      <c r="H724" s="30"/>
      <c r="I724" s="29"/>
    </row>
    <row r="725" spans="3:9" x14ac:dyDescent="0.4">
      <c r="C725" s="154"/>
      <c r="D725" s="37"/>
      <c r="E725" s="37"/>
      <c r="F725" s="31"/>
      <c r="G725" s="31"/>
      <c r="H725" s="30"/>
      <c r="I725" s="29"/>
    </row>
    <row r="726" spans="3:9" x14ac:dyDescent="0.4">
      <c r="C726" s="154"/>
      <c r="D726" s="37"/>
      <c r="E726" s="37"/>
      <c r="F726" s="31"/>
      <c r="G726" s="31"/>
      <c r="H726" s="30"/>
      <c r="I726" s="29"/>
    </row>
    <row r="727" spans="3:9" x14ac:dyDescent="0.4">
      <c r="C727" s="154"/>
      <c r="D727" s="37"/>
      <c r="E727" s="37"/>
      <c r="F727" s="31"/>
      <c r="G727" s="31"/>
      <c r="H727" s="30"/>
      <c r="I727" s="29"/>
    </row>
    <row r="728" spans="3:9" x14ac:dyDescent="0.4">
      <c r="C728" s="154"/>
      <c r="D728" s="37"/>
      <c r="E728" s="37"/>
      <c r="F728" s="31"/>
      <c r="G728" s="31"/>
      <c r="H728" s="30"/>
      <c r="I728" s="29"/>
    </row>
    <row r="729" spans="3:9" x14ac:dyDescent="0.4">
      <c r="C729" s="154"/>
      <c r="D729" s="37"/>
      <c r="E729" s="37"/>
      <c r="F729" s="31"/>
      <c r="G729" s="31"/>
      <c r="H729" s="30"/>
      <c r="I729" s="29"/>
    </row>
    <row r="730" spans="3:9" x14ac:dyDescent="0.4">
      <c r="C730" s="154"/>
      <c r="D730" s="37"/>
      <c r="E730" s="37"/>
      <c r="F730" s="31"/>
      <c r="G730" s="31"/>
      <c r="H730" s="30"/>
      <c r="I730" s="29"/>
    </row>
    <row r="731" spans="3:9" x14ac:dyDescent="0.4">
      <c r="C731" s="154"/>
      <c r="D731" s="37"/>
      <c r="E731" s="37"/>
      <c r="F731" s="31"/>
      <c r="G731" s="31"/>
      <c r="H731" s="30"/>
      <c r="I731" s="29"/>
    </row>
    <row r="732" spans="3:9" x14ac:dyDescent="0.4">
      <c r="C732" s="154"/>
      <c r="D732" s="37"/>
      <c r="E732" s="37"/>
      <c r="F732" s="31"/>
      <c r="G732" s="31"/>
      <c r="H732" s="30"/>
      <c r="I732" s="29"/>
    </row>
    <row r="733" spans="3:9" x14ac:dyDescent="0.4">
      <c r="C733" s="154"/>
      <c r="D733" s="37"/>
      <c r="E733" s="37"/>
      <c r="F733" s="31"/>
      <c r="G733" s="31"/>
      <c r="H733" s="30"/>
      <c r="I733" s="29"/>
    </row>
    <row r="734" spans="3:9" x14ac:dyDescent="0.4">
      <c r="C734" s="154"/>
      <c r="D734" s="37"/>
      <c r="E734" s="37"/>
      <c r="F734" s="31"/>
      <c r="G734" s="31"/>
      <c r="H734" s="30"/>
      <c r="I734" s="29"/>
    </row>
    <row r="735" spans="3:9" x14ac:dyDescent="0.4">
      <c r="C735" s="154"/>
      <c r="D735" s="37"/>
      <c r="E735" s="37"/>
      <c r="F735" s="31"/>
      <c r="G735" s="31"/>
      <c r="H735" s="30"/>
      <c r="I735" s="29"/>
    </row>
    <row r="736" spans="3:9" x14ac:dyDescent="0.4">
      <c r="C736" s="154"/>
      <c r="D736" s="37"/>
      <c r="E736" s="37"/>
      <c r="F736" s="31"/>
      <c r="G736" s="31"/>
      <c r="H736" s="30"/>
      <c r="I736" s="29"/>
    </row>
    <row r="737" spans="3:9" x14ac:dyDescent="0.4">
      <c r="C737" s="154"/>
      <c r="D737" s="37"/>
      <c r="E737" s="37"/>
      <c r="F737" s="31"/>
      <c r="G737" s="31"/>
      <c r="H737" s="30"/>
      <c r="I737" s="29"/>
    </row>
    <row r="738" spans="3:9" x14ac:dyDescent="0.4">
      <c r="C738" s="154"/>
      <c r="D738" s="37"/>
      <c r="E738" s="37"/>
      <c r="F738" s="31"/>
      <c r="G738" s="31"/>
      <c r="H738" s="30"/>
      <c r="I738" s="29"/>
    </row>
    <row r="739" spans="3:9" x14ac:dyDescent="0.4">
      <c r="C739" s="154"/>
      <c r="D739" s="37"/>
      <c r="E739" s="37"/>
      <c r="F739" s="31"/>
      <c r="G739" s="31"/>
      <c r="H739" s="30"/>
      <c r="I739" s="29"/>
    </row>
    <row r="740" spans="3:9" x14ac:dyDescent="0.4">
      <c r="C740" s="154"/>
      <c r="D740" s="37"/>
      <c r="E740" s="37"/>
      <c r="F740" s="31"/>
      <c r="G740" s="31"/>
      <c r="H740" s="30"/>
      <c r="I740" s="29"/>
    </row>
    <row r="741" spans="3:9" x14ac:dyDescent="0.4">
      <c r="C741" s="154"/>
      <c r="D741" s="37"/>
      <c r="E741" s="37"/>
      <c r="F741" s="31"/>
      <c r="G741" s="31"/>
      <c r="H741" s="30"/>
      <c r="I741" s="29"/>
    </row>
    <row r="742" spans="3:9" x14ac:dyDescent="0.4">
      <c r="C742" s="154"/>
      <c r="D742" s="37"/>
      <c r="E742" s="37"/>
      <c r="F742" s="31"/>
      <c r="G742" s="31"/>
      <c r="H742" s="30"/>
      <c r="I742" s="29"/>
    </row>
    <row r="743" spans="3:9" x14ac:dyDescent="0.4">
      <c r="C743" s="154"/>
      <c r="D743" s="37"/>
      <c r="E743" s="37"/>
      <c r="F743" s="31"/>
      <c r="G743" s="31"/>
      <c r="H743" s="30"/>
      <c r="I743" s="29"/>
    </row>
    <row r="744" spans="3:9" x14ac:dyDescent="0.4">
      <c r="C744" s="154"/>
      <c r="D744" s="37"/>
      <c r="E744" s="37"/>
      <c r="F744" s="31"/>
      <c r="G744" s="31"/>
      <c r="H744" s="30"/>
      <c r="I744" s="29"/>
    </row>
    <row r="745" spans="3:9" x14ac:dyDescent="0.4">
      <c r="C745" s="154"/>
      <c r="D745" s="37"/>
      <c r="E745" s="37"/>
      <c r="F745" s="31"/>
      <c r="G745" s="31"/>
      <c r="H745" s="30"/>
      <c r="I745" s="29"/>
    </row>
    <row r="746" spans="3:9" x14ac:dyDescent="0.4">
      <c r="C746" s="154"/>
      <c r="D746" s="37"/>
      <c r="E746" s="37"/>
      <c r="F746" s="31"/>
      <c r="G746" s="31"/>
      <c r="H746" s="30"/>
      <c r="I746" s="29"/>
    </row>
    <row r="747" spans="3:9" x14ac:dyDescent="0.4">
      <c r="C747" s="154"/>
      <c r="D747" s="37"/>
      <c r="E747" s="37"/>
      <c r="F747" s="31"/>
      <c r="G747" s="31"/>
      <c r="H747" s="30"/>
      <c r="I747" s="29"/>
    </row>
    <row r="748" spans="3:9" x14ac:dyDescent="0.4">
      <c r="C748" s="154"/>
      <c r="D748" s="37"/>
      <c r="E748" s="37"/>
      <c r="F748" s="31"/>
      <c r="G748" s="31"/>
      <c r="H748" s="30"/>
      <c r="I748" s="29"/>
    </row>
    <row r="749" spans="3:9" x14ac:dyDescent="0.4">
      <c r="C749" s="154"/>
      <c r="D749" s="37"/>
      <c r="E749" s="37"/>
      <c r="F749" s="31"/>
      <c r="G749" s="31"/>
      <c r="H749" s="30"/>
      <c r="I749" s="29"/>
    </row>
    <row r="750" spans="3:9" x14ac:dyDescent="0.4">
      <c r="C750" s="154"/>
      <c r="D750" s="37"/>
      <c r="E750" s="37"/>
      <c r="F750" s="31"/>
      <c r="G750" s="31"/>
      <c r="H750" s="30"/>
      <c r="I750" s="29"/>
    </row>
    <row r="751" spans="3:9" x14ac:dyDescent="0.4">
      <c r="C751" s="154"/>
      <c r="D751" s="37"/>
      <c r="E751" s="37"/>
      <c r="F751" s="31"/>
      <c r="G751" s="31"/>
      <c r="H751" s="30"/>
      <c r="I751" s="29"/>
    </row>
    <row r="752" spans="3:9" x14ac:dyDescent="0.4">
      <c r="C752" s="154"/>
      <c r="D752" s="37"/>
      <c r="E752" s="37"/>
      <c r="F752" s="31"/>
      <c r="G752" s="31"/>
      <c r="H752" s="30"/>
      <c r="I752" s="29"/>
    </row>
    <row r="753" spans="3:9" x14ac:dyDescent="0.4">
      <c r="C753" s="154"/>
      <c r="D753" s="37"/>
      <c r="E753" s="37"/>
      <c r="F753" s="31"/>
      <c r="G753" s="31"/>
      <c r="H753" s="30"/>
      <c r="I753" s="29"/>
    </row>
    <row r="754" spans="3:9" x14ac:dyDescent="0.4">
      <c r="C754" s="154"/>
      <c r="D754" s="37"/>
      <c r="E754" s="37"/>
      <c r="F754" s="31"/>
      <c r="G754" s="31"/>
      <c r="H754" s="30"/>
      <c r="I754" s="29"/>
    </row>
    <row r="755" spans="3:9" x14ac:dyDescent="0.4">
      <c r="C755" s="154"/>
      <c r="D755" s="37"/>
      <c r="E755" s="37"/>
      <c r="F755" s="31"/>
      <c r="G755" s="31"/>
      <c r="H755" s="30"/>
      <c r="I755" s="29"/>
    </row>
    <row r="756" spans="3:9" x14ac:dyDescent="0.4">
      <c r="C756" s="154"/>
      <c r="D756" s="37"/>
      <c r="E756" s="37"/>
      <c r="F756" s="31"/>
      <c r="G756" s="31"/>
      <c r="H756" s="30"/>
      <c r="I756" s="29"/>
    </row>
    <row r="757" spans="3:9" x14ac:dyDescent="0.4">
      <c r="C757" s="154"/>
      <c r="D757" s="37"/>
      <c r="E757" s="37"/>
      <c r="F757" s="31"/>
      <c r="G757" s="31"/>
      <c r="H757" s="30"/>
      <c r="I757" s="29"/>
    </row>
    <row r="758" spans="3:9" x14ac:dyDescent="0.4">
      <c r="C758" s="154"/>
      <c r="D758" s="37"/>
      <c r="E758" s="37"/>
      <c r="F758" s="31"/>
      <c r="G758" s="31"/>
      <c r="H758" s="30"/>
      <c r="I758" s="29"/>
    </row>
    <row r="759" spans="3:9" x14ac:dyDescent="0.4">
      <c r="C759" s="154"/>
      <c r="D759" s="37"/>
      <c r="E759" s="37"/>
      <c r="F759" s="31"/>
      <c r="G759" s="31"/>
      <c r="H759" s="30"/>
      <c r="I759" s="29"/>
    </row>
    <row r="760" spans="3:9" x14ac:dyDescent="0.4">
      <c r="C760" s="154"/>
      <c r="D760" s="37"/>
      <c r="E760" s="37"/>
      <c r="F760" s="31"/>
      <c r="G760" s="31"/>
      <c r="H760" s="30"/>
      <c r="I760" s="29"/>
    </row>
    <row r="761" spans="3:9" x14ac:dyDescent="0.4">
      <c r="C761" s="154"/>
      <c r="D761" s="37"/>
      <c r="E761" s="37"/>
      <c r="F761" s="31"/>
      <c r="G761" s="31"/>
      <c r="H761" s="30"/>
      <c r="I761" s="29"/>
    </row>
    <row r="762" spans="3:9" x14ac:dyDescent="0.4">
      <c r="C762" s="154"/>
      <c r="D762" s="37"/>
      <c r="E762" s="37"/>
      <c r="F762" s="31"/>
      <c r="G762" s="31"/>
      <c r="H762" s="30"/>
      <c r="I762" s="29"/>
    </row>
    <row r="763" spans="3:9" x14ac:dyDescent="0.4">
      <c r="C763" s="154"/>
      <c r="D763" s="37"/>
      <c r="E763" s="37"/>
      <c r="F763" s="31"/>
      <c r="G763" s="31"/>
      <c r="H763" s="30"/>
      <c r="I763" s="29"/>
    </row>
    <row r="764" spans="3:9" x14ac:dyDescent="0.4">
      <c r="C764" s="154"/>
      <c r="D764" s="37"/>
      <c r="E764" s="37"/>
      <c r="F764" s="31"/>
      <c r="G764" s="31"/>
      <c r="H764" s="30"/>
      <c r="I764" s="29"/>
    </row>
    <row r="765" spans="3:9" x14ac:dyDescent="0.4">
      <c r="C765" s="154"/>
      <c r="D765" s="37"/>
      <c r="E765" s="37"/>
      <c r="F765" s="31"/>
      <c r="G765" s="31"/>
      <c r="H765" s="30"/>
      <c r="I765" s="29"/>
    </row>
    <row r="766" spans="3:9" x14ac:dyDescent="0.4">
      <c r="C766" s="154"/>
      <c r="D766" s="37"/>
      <c r="E766" s="37"/>
      <c r="F766" s="31"/>
      <c r="G766" s="31"/>
      <c r="H766" s="30"/>
      <c r="I766" s="29"/>
    </row>
    <row r="767" spans="3:9" x14ac:dyDescent="0.4">
      <c r="C767" s="154"/>
      <c r="D767" s="37"/>
      <c r="E767" s="37"/>
      <c r="F767" s="31"/>
      <c r="G767" s="31"/>
      <c r="H767" s="30"/>
      <c r="I767" s="29"/>
    </row>
    <row r="768" spans="3:9" x14ac:dyDescent="0.4">
      <c r="C768" s="154"/>
      <c r="D768" s="37"/>
      <c r="E768" s="37"/>
      <c r="F768" s="31"/>
      <c r="G768" s="31"/>
      <c r="H768" s="30"/>
      <c r="I768" s="29"/>
    </row>
    <row r="769" spans="3:9" x14ac:dyDescent="0.4">
      <c r="C769" s="154"/>
      <c r="D769" s="37"/>
      <c r="E769" s="37"/>
      <c r="F769" s="31"/>
      <c r="G769" s="31"/>
      <c r="H769" s="30"/>
      <c r="I769" s="29"/>
    </row>
    <row r="770" spans="3:9" x14ac:dyDescent="0.4">
      <c r="C770" s="154"/>
      <c r="D770" s="37"/>
      <c r="E770" s="37"/>
      <c r="F770" s="31"/>
      <c r="G770" s="31"/>
      <c r="H770" s="30"/>
      <c r="I770" s="29"/>
    </row>
    <row r="771" spans="3:9" x14ac:dyDescent="0.4">
      <c r="C771" s="154"/>
      <c r="D771" s="37"/>
      <c r="E771" s="37"/>
      <c r="F771" s="31"/>
      <c r="G771" s="31"/>
      <c r="H771" s="30"/>
      <c r="I771" s="29"/>
    </row>
    <row r="772" spans="3:9" x14ac:dyDescent="0.4">
      <c r="C772" s="154"/>
      <c r="D772" s="37"/>
      <c r="E772" s="37"/>
      <c r="F772" s="31"/>
      <c r="G772" s="31"/>
      <c r="H772" s="30"/>
      <c r="I772" s="29"/>
    </row>
    <row r="773" spans="3:9" x14ac:dyDescent="0.4">
      <c r="C773" s="154"/>
      <c r="D773" s="37"/>
      <c r="E773" s="37"/>
      <c r="F773" s="31"/>
      <c r="G773" s="31"/>
      <c r="H773" s="30"/>
      <c r="I773" s="29"/>
    </row>
    <row r="774" spans="3:9" x14ac:dyDescent="0.4">
      <c r="C774" s="154"/>
      <c r="D774" s="37"/>
      <c r="E774" s="37"/>
      <c r="F774" s="31"/>
      <c r="G774" s="31"/>
      <c r="H774" s="30"/>
      <c r="I774" s="29"/>
    </row>
    <row r="775" spans="3:9" x14ac:dyDescent="0.4">
      <c r="C775" s="154"/>
      <c r="D775" s="37"/>
      <c r="E775" s="37"/>
      <c r="F775" s="31"/>
      <c r="G775" s="31"/>
      <c r="H775" s="30"/>
      <c r="I775" s="29"/>
    </row>
    <row r="776" spans="3:9" x14ac:dyDescent="0.4">
      <c r="C776" s="154"/>
      <c r="D776" s="37"/>
      <c r="E776" s="37"/>
      <c r="F776" s="31"/>
      <c r="G776" s="31"/>
      <c r="H776" s="30"/>
      <c r="I776" s="29"/>
    </row>
    <row r="777" spans="3:9" x14ac:dyDescent="0.4">
      <c r="C777" s="154"/>
      <c r="D777" s="37"/>
      <c r="E777" s="37"/>
      <c r="F777" s="31"/>
      <c r="G777" s="31"/>
      <c r="H777" s="30"/>
      <c r="I777" s="29"/>
    </row>
    <row r="778" spans="3:9" x14ac:dyDescent="0.4">
      <c r="C778" s="154"/>
      <c r="D778" s="37"/>
      <c r="E778" s="37"/>
      <c r="F778" s="31"/>
      <c r="G778" s="31"/>
      <c r="H778" s="30"/>
      <c r="I778" s="29"/>
    </row>
    <row r="779" spans="3:9" x14ac:dyDescent="0.4">
      <c r="C779" s="154"/>
      <c r="D779" s="37"/>
      <c r="E779" s="37"/>
      <c r="F779" s="31"/>
      <c r="G779" s="31"/>
      <c r="H779" s="30"/>
      <c r="I779" s="29"/>
    </row>
    <row r="780" spans="3:9" x14ac:dyDescent="0.4">
      <c r="C780" s="154"/>
      <c r="D780" s="37"/>
      <c r="E780" s="37"/>
      <c r="F780" s="31"/>
      <c r="G780" s="31"/>
      <c r="H780" s="30"/>
      <c r="I780" s="29"/>
    </row>
    <row r="781" spans="3:9" x14ac:dyDescent="0.4">
      <c r="C781" s="154"/>
      <c r="D781" s="37"/>
      <c r="E781" s="37"/>
      <c r="F781" s="31"/>
      <c r="G781" s="31"/>
      <c r="H781" s="30"/>
      <c r="I781" s="29"/>
    </row>
    <row r="782" spans="3:9" x14ac:dyDescent="0.4">
      <c r="C782" s="154"/>
      <c r="D782" s="37"/>
      <c r="E782" s="37"/>
      <c r="F782" s="31"/>
      <c r="G782" s="31"/>
      <c r="H782" s="30"/>
      <c r="I782" s="29"/>
    </row>
    <row r="783" spans="3:9" x14ac:dyDescent="0.4">
      <c r="C783" s="154"/>
      <c r="D783" s="37"/>
      <c r="E783" s="37"/>
      <c r="F783" s="31"/>
      <c r="G783" s="31"/>
      <c r="H783" s="30"/>
      <c r="I783" s="29"/>
    </row>
    <row r="784" spans="3:9" x14ac:dyDescent="0.4">
      <c r="C784" s="154"/>
      <c r="D784" s="37"/>
      <c r="E784" s="37"/>
      <c r="F784" s="31"/>
      <c r="G784" s="31"/>
      <c r="H784" s="30"/>
      <c r="I784" s="29"/>
    </row>
    <row r="785" spans="3:9" x14ac:dyDescent="0.4">
      <c r="C785" s="154"/>
      <c r="D785" s="37"/>
      <c r="E785" s="37"/>
      <c r="F785" s="31"/>
      <c r="G785" s="31"/>
      <c r="H785" s="30"/>
      <c r="I785" s="29"/>
    </row>
    <row r="786" spans="3:9" x14ac:dyDescent="0.4">
      <c r="C786" s="154"/>
      <c r="D786" s="37"/>
      <c r="E786" s="37"/>
      <c r="F786" s="31"/>
      <c r="G786" s="31"/>
      <c r="H786" s="30"/>
      <c r="I786" s="29"/>
    </row>
    <row r="787" spans="3:9" x14ac:dyDescent="0.4">
      <c r="C787" s="154"/>
      <c r="D787" s="37"/>
      <c r="E787" s="37"/>
      <c r="F787" s="31"/>
      <c r="G787" s="31"/>
      <c r="H787" s="30"/>
      <c r="I787" s="29"/>
    </row>
    <row r="788" spans="3:9" x14ac:dyDescent="0.4">
      <c r="C788" s="154"/>
      <c r="D788" s="37"/>
      <c r="E788" s="37"/>
      <c r="F788" s="31"/>
      <c r="G788" s="31"/>
      <c r="H788" s="30"/>
      <c r="I788" s="29"/>
    </row>
    <row r="789" spans="3:9" x14ac:dyDescent="0.4">
      <c r="C789" s="154"/>
      <c r="D789" s="37"/>
      <c r="E789" s="37"/>
      <c r="F789" s="31"/>
      <c r="G789" s="31"/>
      <c r="H789" s="30"/>
      <c r="I789" s="29"/>
    </row>
    <row r="790" spans="3:9" x14ac:dyDescent="0.4">
      <c r="C790" s="154"/>
      <c r="D790" s="37"/>
      <c r="E790" s="37"/>
      <c r="F790" s="31"/>
      <c r="G790" s="31"/>
      <c r="H790" s="30"/>
      <c r="I790" s="29"/>
    </row>
    <row r="791" spans="3:9" x14ac:dyDescent="0.4">
      <c r="C791" s="154"/>
      <c r="D791" s="37"/>
      <c r="E791" s="37"/>
      <c r="F791" s="31"/>
      <c r="G791" s="31"/>
      <c r="H791" s="30"/>
      <c r="I791" s="29"/>
    </row>
    <row r="792" spans="3:9" x14ac:dyDescent="0.4">
      <c r="C792" s="154"/>
      <c r="D792" s="37"/>
      <c r="E792" s="37"/>
      <c r="F792" s="31"/>
      <c r="G792" s="31"/>
      <c r="H792" s="30"/>
      <c r="I792" s="29"/>
    </row>
    <row r="793" spans="3:9" x14ac:dyDescent="0.4">
      <c r="C793" s="154"/>
      <c r="D793" s="37"/>
      <c r="E793" s="37"/>
      <c r="F793" s="31"/>
      <c r="G793" s="31"/>
      <c r="H793" s="30"/>
      <c r="I793" s="29"/>
    </row>
    <row r="794" spans="3:9" x14ac:dyDescent="0.4">
      <c r="C794" s="154"/>
      <c r="D794" s="37"/>
      <c r="E794" s="37"/>
      <c r="F794" s="31"/>
      <c r="G794" s="31"/>
      <c r="H794" s="30"/>
      <c r="I794" s="29"/>
    </row>
    <row r="795" spans="3:9" x14ac:dyDescent="0.4">
      <c r="C795" s="154"/>
      <c r="D795" s="37"/>
      <c r="E795" s="37"/>
      <c r="F795" s="31"/>
      <c r="G795" s="31"/>
      <c r="H795" s="30"/>
      <c r="I795" s="29"/>
    </row>
    <row r="796" spans="3:9" x14ac:dyDescent="0.4">
      <c r="C796" s="154"/>
      <c r="D796" s="37"/>
      <c r="E796" s="37"/>
      <c r="F796" s="31"/>
      <c r="G796" s="31"/>
      <c r="H796" s="30"/>
      <c r="I796" s="29"/>
    </row>
    <row r="797" spans="3:9" x14ac:dyDescent="0.4">
      <c r="C797" s="154"/>
      <c r="D797" s="37"/>
      <c r="E797" s="37"/>
      <c r="F797" s="31"/>
      <c r="G797" s="31"/>
      <c r="H797" s="30"/>
      <c r="I797" s="29"/>
    </row>
    <row r="798" spans="3:9" x14ac:dyDescent="0.4">
      <c r="C798" s="154"/>
      <c r="D798" s="37"/>
      <c r="E798" s="37"/>
      <c r="F798" s="31"/>
      <c r="G798" s="31"/>
      <c r="H798" s="30"/>
      <c r="I798" s="29"/>
    </row>
    <row r="799" spans="3:9" x14ac:dyDescent="0.4">
      <c r="C799" s="154"/>
      <c r="D799" s="37"/>
      <c r="E799" s="37"/>
      <c r="F799" s="31"/>
      <c r="G799" s="31"/>
      <c r="H799" s="30"/>
      <c r="I799" s="29"/>
    </row>
    <row r="800" spans="3:9" x14ac:dyDescent="0.4">
      <c r="C800" s="154"/>
      <c r="D800" s="37"/>
      <c r="E800" s="37"/>
      <c r="F800" s="31"/>
      <c r="G800" s="31"/>
      <c r="H800" s="30"/>
      <c r="I800" s="29"/>
    </row>
    <row r="801" spans="3:9" x14ac:dyDescent="0.4">
      <c r="C801" s="154"/>
      <c r="D801" s="37"/>
      <c r="E801" s="37"/>
      <c r="F801" s="31"/>
      <c r="G801" s="31"/>
      <c r="H801" s="30"/>
      <c r="I801" s="29"/>
    </row>
    <row r="802" spans="3:9" x14ac:dyDescent="0.4">
      <c r="C802" s="154"/>
      <c r="D802" s="37"/>
      <c r="E802" s="37"/>
      <c r="F802" s="31"/>
      <c r="G802" s="31"/>
      <c r="H802" s="30"/>
      <c r="I802" s="29"/>
    </row>
    <row r="803" spans="3:9" x14ac:dyDescent="0.4">
      <c r="C803" s="154"/>
      <c r="D803" s="37"/>
      <c r="E803" s="37"/>
      <c r="F803" s="31"/>
      <c r="G803" s="31"/>
      <c r="H803" s="30"/>
      <c r="I803" s="29"/>
    </row>
    <row r="804" spans="3:9" x14ac:dyDescent="0.4">
      <c r="C804" s="154"/>
      <c r="D804" s="37"/>
      <c r="E804" s="37"/>
      <c r="F804" s="31"/>
      <c r="G804" s="31"/>
      <c r="H804" s="30"/>
      <c r="I804" s="29"/>
    </row>
    <row r="805" spans="3:9" x14ac:dyDescent="0.4">
      <c r="C805" s="154"/>
      <c r="D805" s="37"/>
      <c r="E805" s="37"/>
      <c r="F805" s="31"/>
      <c r="G805" s="31"/>
      <c r="H805" s="30"/>
      <c r="I805" s="29"/>
    </row>
    <row r="806" spans="3:9" x14ac:dyDescent="0.4">
      <c r="C806" s="154"/>
      <c r="D806" s="37"/>
      <c r="E806" s="37"/>
      <c r="F806" s="31"/>
      <c r="G806" s="31"/>
      <c r="H806" s="30"/>
      <c r="I806" s="29"/>
    </row>
    <row r="807" spans="3:9" x14ac:dyDescent="0.4">
      <c r="C807" s="154"/>
      <c r="D807" s="37"/>
      <c r="E807" s="37"/>
      <c r="F807" s="31"/>
      <c r="G807" s="31"/>
      <c r="H807" s="30"/>
      <c r="I807" s="29"/>
    </row>
    <row r="808" spans="3:9" x14ac:dyDescent="0.4">
      <c r="C808" s="154"/>
      <c r="D808" s="37"/>
      <c r="E808" s="37"/>
      <c r="F808" s="31"/>
      <c r="G808" s="31"/>
      <c r="H808" s="30"/>
      <c r="I808" s="29"/>
    </row>
    <row r="809" spans="3:9" x14ac:dyDescent="0.4">
      <c r="C809" s="154"/>
      <c r="D809" s="37"/>
      <c r="E809" s="37"/>
      <c r="F809" s="31"/>
      <c r="G809" s="31"/>
      <c r="H809" s="30"/>
      <c r="I809" s="29"/>
    </row>
    <row r="810" spans="3:9" x14ac:dyDescent="0.4">
      <c r="C810" s="154"/>
      <c r="D810" s="37"/>
      <c r="E810" s="37"/>
      <c r="F810" s="31"/>
      <c r="G810" s="31"/>
      <c r="H810" s="30"/>
      <c r="I810" s="29"/>
    </row>
    <row r="811" spans="3:9" x14ac:dyDescent="0.4">
      <c r="C811" s="154"/>
      <c r="D811" s="37"/>
      <c r="E811" s="37"/>
      <c r="F811" s="31"/>
      <c r="G811" s="31"/>
      <c r="H811" s="30"/>
      <c r="I811" s="29"/>
    </row>
    <row r="812" spans="3:9" x14ac:dyDescent="0.4">
      <c r="C812" s="154"/>
      <c r="D812" s="37"/>
      <c r="E812" s="37"/>
      <c r="F812" s="31"/>
      <c r="G812" s="31"/>
      <c r="H812" s="30"/>
      <c r="I812" s="29"/>
    </row>
    <row r="813" spans="3:9" x14ac:dyDescent="0.4">
      <c r="C813" s="154"/>
      <c r="D813" s="37"/>
      <c r="E813" s="37"/>
      <c r="F813" s="31"/>
      <c r="G813" s="31"/>
      <c r="H813" s="30"/>
      <c r="I813" s="29"/>
    </row>
    <row r="814" spans="3:9" x14ac:dyDescent="0.4">
      <c r="C814" s="154"/>
      <c r="D814" s="37"/>
      <c r="E814" s="37"/>
      <c r="F814" s="31"/>
      <c r="G814" s="31"/>
      <c r="H814" s="30"/>
      <c r="I814" s="29"/>
    </row>
    <row r="815" spans="3:9" x14ac:dyDescent="0.4">
      <c r="C815" s="154"/>
      <c r="D815" s="37"/>
      <c r="E815" s="37"/>
      <c r="F815" s="31"/>
      <c r="G815" s="31"/>
      <c r="H815" s="30"/>
      <c r="I815" s="29"/>
    </row>
    <row r="816" spans="3:9" x14ac:dyDescent="0.4">
      <c r="C816" s="154"/>
      <c r="D816" s="37"/>
      <c r="E816" s="37"/>
      <c r="F816" s="31"/>
      <c r="G816" s="31"/>
      <c r="H816" s="30"/>
      <c r="I816" s="29"/>
    </row>
    <row r="817" spans="3:9" x14ac:dyDescent="0.4">
      <c r="C817" s="154"/>
      <c r="D817" s="37"/>
      <c r="E817" s="37"/>
      <c r="F817" s="31"/>
      <c r="G817" s="31"/>
      <c r="H817" s="30"/>
      <c r="I817" s="29"/>
    </row>
    <row r="818" spans="3:9" x14ac:dyDescent="0.4">
      <c r="C818" s="154"/>
      <c r="D818" s="37"/>
      <c r="E818" s="37"/>
      <c r="F818" s="31"/>
      <c r="G818" s="31"/>
      <c r="H818" s="30"/>
      <c r="I818" s="29"/>
    </row>
    <row r="819" spans="3:9" x14ac:dyDescent="0.4">
      <c r="C819" s="154"/>
      <c r="D819" s="37"/>
      <c r="E819" s="37"/>
      <c r="F819" s="31"/>
      <c r="G819" s="31"/>
      <c r="H819" s="30"/>
      <c r="I819" s="29"/>
    </row>
    <row r="820" spans="3:9" x14ac:dyDescent="0.4">
      <c r="C820" s="154"/>
      <c r="D820" s="37"/>
      <c r="E820" s="37"/>
      <c r="F820" s="31"/>
      <c r="G820" s="31"/>
      <c r="H820" s="30"/>
      <c r="I820" s="29"/>
    </row>
    <row r="821" spans="3:9" x14ac:dyDescent="0.4">
      <c r="C821" s="154"/>
      <c r="D821" s="37"/>
      <c r="E821" s="37"/>
      <c r="F821" s="31"/>
      <c r="G821" s="31"/>
      <c r="H821" s="30"/>
      <c r="I821" s="29"/>
    </row>
    <row r="822" spans="3:9" x14ac:dyDescent="0.4">
      <c r="C822" s="154"/>
      <c r="D822" s="37"/>
      <c r="E822" s="37"/>
      <c r="F822" s="31"/>
      <c r="G822" s="31"/>
      <c r="H822" s="30"/>
      <c r="I822" s="29"/>
    </row>
    <row r="823" spans="3:9" x14ac:dyDescent="0.4">
      <c r="C823" s="154"/>
      <c r="D823" s="37"/>
      <c r="E823" s="37"/>
      <c r="F823" s="31"/>
      <c r="G823" s="31"/>
      <c r="H823" s="30"/>
      <c r="I823" s="29"/>
    </row>
    <row r="824" spans="3:9" x14ac:dyDescent="0.4">
      <c r="C824" s="154"/>
      <c r="D824" s="37"/>
      <c r="E824" s="37"/>
      <c r="F824" s="31"/>
      <c r="G824" s="31"/>
      <c r="H824" s="30"/>
      <c r="I824" s="29"/>
    </row>
    <row r="825" spans="3:9" x14ac:dyDescent="0.4">
      <c r="C825" s="154"/>
      <c r="D825" s="37"/>
      <c r="E825" s="37"/>
      <c r="F825" s="31"/>
      <c r="G825" s="31"/>
      <c r="H825" s="30"/>
      <c r="I825" s="29"/>
    </row>
    <row r="826" spans="3:9" x14ac:dyDescent="0.4">
      <c r="C826" s="154"/>
      <c r="D826" s="37"/>
      <c r="E826" s="37"/>
      <c r="F826" s="31"/>
      <c r="G826" s="31"/>
      <c r="H826" s="30"/>
      <c r="I826" s="29"/>
    </row>
    <row r="827" spans="3:9" x14ac:dyDescent="0.4">
      <c r="C827" s="154"/>
      <c r="D827" s="37"/>
      <c r="E827" s="37"/>
      <c r="F827" s="31"/>
      <c r="G827" s="31"/>
      <c r="H827" s="30"/>
      <c r="I827" s="29"/>
    </row>
    <row r="828" spans="3:9" x14ac:dyDescent="0.4">
      <c r="C828" s="154"/>
      <c r="D828" s="37"/>
      <c r="E828" s="37"/>
      <c r="F828" s="31"/>
      <c r="G828" s="31"/>
      <c r="H828" s="30"/>
      <c r="I828" s="29"/>
    </row>
    <row r="829" spans="3:9" x14ac:dyDescent="0.4">
      <c r="C829" s="154"/>
      <c r="D829" s="37"/>
      <c r="E829" s="37"/>
      <c r="F829" s="31"/>
      <c r="G829" s="31"/>
      <c r="H829" s="30"/>
      <c r="I829" s="29"/>
    </row>
    <row r="830" spans="3:9" x14ac:dyDescent="0.4">
      <c r="C830" s="154"/>
      <c r="D830" s="37"/>
      <c r="E830" s="37"/>
      <c r="F830" s="31"/>
      <c r="G830" s="31"/>
      <c r="H830" s="30"/>
      <c r="I830" s="29"/>
    </row>
    <row r="831" spans="3:9" x14ac:dyDescent="0.4">
      <c r="C831" s="154"/>
      <c r="D831" s="37"/>
      <c r="E831" s="37"/>
      <c r="F831" s="31"/>
      <c r="G831" s="31"/>
      <c r="H831" s="30"/>
      <c r="I831" s="29"/>
    </row>
    <row r="832" spans="3:9" x14ac:dyDescent="0.4">
      <c r="C832" s="154"/>
      <c r="D832" s="37"/>
      <c r="E832" s="37"/>
      <c r="F832" s="31"/>
      <c r="G832" s="31"/>
      <c r="H832" s="30"/>
      <c r="I832" s="29"/>
    </row>
    <row r="833" spans="3:9" x14ac:dyDescent="0.4">
      <c r="C833" s="154"/>
      <c r="D833" s="37"/>
      <c r="E833" s="37"/>
      <c r="F833" s="31"/>
      <c r="G833" s="31"/>
      <c r="H833" s="30"/>
      <c r="I833" s="29"/>
    </row>
    <row r="834" spans="3:9" x14ac:dyDescent="0.4">
      <c r="C834" s="154"/>
      <c r="D834" s="37"/>
      <c r="E834" s="37"/>
      <c r="F834" s="31"/>
      <c r="G834" s="31"/>
      <c r="H834" s="30"/>
      <c r="I834" s="29"/>
    </row>
    <row r="835" spans="3:9" x14ac:dyDescent="0.4">
      <c r="C835" s="154"/>
      <c r="D835" s="37"/>
      <c r="E835" s="37"/>
      <c r="F835" s="31"/>
      <c r="G835" s="31"/>
      <c r="H835" s="30"/>
      <c r="I835" s="29"/>
    </row>
    <row r="836" spans="3:9" x14ac:dyDescent="0.4">
      <c r="C836" s="154"/>
      <c r="D836" s="37"/>
      <c r="E836" s="37"/>
      <c r="F836" s="31"/>
      <c r="G836" s="31"/>
      <c r="H836" s="30"/>
      <c r="I836" s="29"/>
    </row>
    <row r="837" spans="3:9" x14ac:dyDescent="0.4">
      <c r="C837" s="154"/>
      <c r="D837" s="37"/>
      <c r="E837" s="37"/>
      <c r="F837" s="31"/>
      <c r="G837" s="31"/>
      <c r="H837" s="30"/>
      <c r="I837" s="29"/>
    </row>
    <row r="838" spans="3:9" x14ac:dyDescent="0.4">
      <c r="C838" s="154"/>
      <c r="D838" s="37"/>
      <c r="E838" s="37"/>
      <c r="F838" s="31"/>
      <c r="G838" s="31"/>
      <c r="H838" s="30"/>
      <c r="I838" s="29"/>
    </row>
    <row r="839" spans="3:9" x14ac:dyDescent="0.4">
      <c r="C839" s="154"/>
      <c r="D839" s="37"/>
      <c r="E839" s="37"/>
      <c r="F839" s="31"/>
      <c r="G839" s="31"/>
      <c r="H839" s="30"/>
      <c r="I839" s="29"/>
    </row>
    <row r="840" spans="3:9" x14ac:dyDescent="0.4">
      <c r="C840" s="154"/>
      <c r="D840" s="37"/>
      <c r="E840" s="37"/>
      <c r="F840" s="31"/>
      <c r="G840" s="31"/>
      <c r="H840" s="30"/>
      <c r="I840" s="29"/>
    </row>
    <row r="841" spans="3:9" x14ac:dyDescent="0.4">
      <c r="C841" s="154"/>
      <c r="D841" s="37"/>
      <c r="E841" s="37"/>
      <c r="F841" s="31"/>
      <c r="G841" s="31"/>
      <c r="H841" s="30"/>
      <c r="I841" s="29"/>
    </row>
    <row r="842" spans="3:9" x14ac:dyDescent="0.4">
      <c r="C842" s="154"/>
      <c r="D842" s="37"/>
      <c r="E842" s="37"/>
      <c r="F842" s="31"/>
      <c r="G842" s="31"/>
      <c r="H842" s="30"/>
      <c r="I842" s="29"/>
    </row>
    <row r="843" spans="3:9" x14ac:dyDescent="0.4">
      <c r="C843" s="154"/>
      <c r="D843" s="37"/>
      <c r="E843" s="37"/>
      <c r="F843" s="31"/>
      <c r="G843" s="31"/>
      <c r="H843" s="30"/>
      <c r="I843" s="29"/>
    </row>
    <row r="844" spans="3:9" x14ac:dyDescent="0.4">
      <c r="C844" s="154"/>
      <c r="D844" s="37"/>
      <c r="E844" s="37"/>
      <c r="F844" s="31"/>
      <c r="G844" s="31"/>
      <c r="H844" s="30"/>
      <c r="I844" s="29"/>
    </row>
    <row r="845" spans="3:9" x14ac:dyDescent="0.4">
      <c r="C845" s="154"/>
      <c r="D845" s="37"/>
      <c r="E845" s="37"/>
      <c r="F845" s="31"/>
      <c r="G845" s="31"/>
      <c r="H845" s="30"/>
      <c r="I845" s="29"/>
    </row>
    <row r="846" spans="3:9" x14ac:dyDescent="0.4">
      <c r="C846" s="154"/>
      <c r="D846" s="37"/>
      <c r="E846" s="37"/>
      <c r="F846" s="31"/>
      <c r="G846" s="31"/>
      <c r="H846" s="30"/>
      <c r="I846" s="29"/>
    </row>
    <row r="847" spans="3:9" x14ac:dyDescent="0.4">
      <c r="C847" s="154"/>
      <c r="D847" s="37"/>
      <c r="E847" s="37"/>
      <c r="F847" s="31"/>
      <c r="G847" s="31"/>
      <c r="H847" s="30"/>
      <c r="I847" s="29"/>
    </row>
    <row r="848" spans="3:9" x14ac:dyDescent="0.4">
      <c r="C848" s="154"/>
      <c r="D848" s="37"/>
      <c r="E848" s="37"/>
      <c r="F848" s="31"/>
      <c r="G848" s="31"/>
      <c r="H848" s="30"/>
      <c r="I848" s="29"/>
    </row>
    <row r="849" spans="3:9" x14ac:dyDescent="0.4">
      <c r="C849" s="154"/>
      <c r="D849" s="37"/>
      <c r="E849" s="37"/>
      <c r="F849" s="31"/>
      <c r="G849" s="31"/>
      <c r="H849" s="30"/>
      <c r="I849" s="29"/>
    </row>
    <row r="850" spans="3:9" x14ac:dyDescent="0.4">
      <c r="C850" s="154"/>
      <c r="D850" s="37"/>
      <c r="E850" s="37"/>
      <c r="F850" s="31"/>
      <c r="G850" s="31"/>
      <c r="H850" s="30"/>
      <c r="I850" s="29"/>
    </row>
    <row r="851" spans="3:9" x14ac:dyDescent="0.4">
      <c r="C851" s="154"/>
      <c r="D851" s="37"/>
      <c r="E851" s="37"/>
      <c r="F851" s="31"/>
      <c r="G851" s="31"/>
      <c r="H851" s="30"/>
      <c r="I851" s="29"/>
    </row>
    <row r="852" spans="3:9" x14ac:dyDescent="0.4">
      <c r="C852" s="154"/>
      <c r="D852" s="37"/>
      <c r="E852" s="37"/>
      <c r="F852" s="31"/>
      <c r="G852" s="31"/>
      <c r="H852" s="30"/>
      <c r="I852" s="29"/>
    </row>
    <row r="853" spans="3:9" x14ac:dyDescent="0.4">
      <c r="C853" s="154"/>
      <c r="D853" s="37"/>
      <c r="E853" s="37"/>
      <c r="F853" s="31"/>
      <c r="G853" s="31"/>
      <c r="H853" s="30"/>
      <c r="I853" s="29"/>
    </row>
    <row r="854" spans="3:9" x14ac:dyDescent="0.4">
      <c r="C854" s="154"/>
      <c r="D854" s="37"/>
      <c r="E854" s="37"/>
      <c r="F854" s="31"/>
      <c r="G854" s="31"/>
      <c r="H854" s="30"/>
      <c r="I854" s="29"/>
    </row>
    <row r="855" spans="3:9" x14ac:dyDescent="0.4">
      <c r="C855" s="154"/>
      <c r="D855" s="37"/>
      <c r="E855" s="37"/>
      <c r="F855" s="31"/>
      <c r="G855" s="31"/>
      <c r="H855" s="30"/>
      <c r="I855" s="29"/>
    </row>
    <row r="856" spans="3:9" x14ac:dyDescent="0.4">
      <c r="C856" s="154"/>
      <c r="D856" s="37"/>
      <c r="E856" s="37"/>
      <c r="F856" s="31"/>
      <c r="G856" s="31"/>
      <c r="H856" s="30"/>
      <c r="I856" s="29"/>
    </row>
    <row r="857" spans="3:9" x14ac:dyDescent="0.4">
      <c r="C857" s="154"/>
      <c r="D857" s="37"/>
      <c r="E857" s="37"/>
      <c r="F857" s="31"/>
      <c r="G857" s="31"/>
      <c r="H857" s="30"/>
      <c r="I857" s="29"/>
    </row>
    <row r="858" spans="3:9" x14ac:dyDescent="0.4">
      <c r="C858" s="154"/>
      <c r="D858" s="37"/>
      <c r="E858" s="37"/>
      <c r="F858" s="31"/>
      <c r="G858" s="31"/>
      <c r="H858" s="30"/>
      <c r="I858" s="29"/>
    </row>
    <row r="859" spans="3:9" x14ac:dyDescent="0.4">
      <c r="C859" s="154"/>
      <c r="D859" s="37"/>
      <c r="E859" s="37"/>
      <c r="F859" s="31"/>
      <c r="G859" s="31"/>
      <c r="H859" s="30"/>
      <c r="I859" s="29"/>
    </row>
    <row r="860" spans="3:9" x14ac:dyDescent="0.4">
      <c r="C860" s="154"/>
      <c r="D860" s="37"/>
      <c r="E860" s="37"/>
      <c r="F860" s="31"/>
      <c r="G860" s="31"/>
      <c r="H860" s="30"/>
      <c r="I860" s="29"/>
    </row>
    <row r="861" spans="3:9" x14ac:dyDescent="0.4">
      <c r="C861" s="154"/>
      <c r="D861" s="37"/>
      <c r="E861" s="37"/>
      <c r="F861" s="31"/>
      <c r="G861" s="31"/>
      <c r="H861" s="30"/>
      <c r="I861" s="29"/>
    </row>
    <row r="862" spans="3:9" x14ac:dyDescent="0.4">
      <c r="C862" s="154"/>
      <c r="D862" s="37"/>
      <c r="E862" s="37"/>
      <c r="F862" s="31"/>
      <c r="G862" s="31"/>
      <c r="H862" s="30"/>
      <c r="I862" s="29"/>
    </row>
    <row r="863" spans="3:9" x14ac:dyDescent="0.4">
      <c r="C863" s="154"/>
      <c r="D863" s="37"/>
      <c r="E863" s="37"/>
      <c r="F863" s="31"/>
      <c r="G863" s="31"/>
      <c r="H863" s="30"/>
      <c r="I863" s="29"/>
    </row>
    <row r="864" spans="3:9" x14ac:dyDescent="0.4">
      <c r="C864" s="154"/>
      <c r="D864" s="37"/>
      <c r="E864" s="37"/>
      <c r="F864" s="31"/>
      <c r="G864" s="31"/>
      <c r="H864" s="30"/>
      <c r="I864" s="29"/>
    </row>
    <row r="865" spans="3:9" x14ac:dyDescent="0.4">
      <c r="C865" s="154"/>
      <c r="D865" s="37"/>
      <c r="E865" s="37"/>
      <c r="F865" s="31"/>
      <c r="G865" s="31"/>
      <c r="H865" s="30"/>
      <c r="I865" s="29"/>
    </row>
    <row r="866" spans="3:9" x14ac:dyDescent="0.4">
      <c r="C866" s="154"/>
      <c r="D866" s="37"/>
      <c r="E866" s="37"/>
      <c r="F866" s="31"/>
      <c r="G866" s="31"/>
      <c r="H866" s="30"/>
      <c r="I866" s="29"/>
    </row>
    <row r="867" spans="3:9" x14ac:dyDescent="0.4">
      <c r="C867" s="154"/>
      <c r="D867" s="37"/>
      <c r="E867" s="37"/>
      <c r="F867" s="31"/>
      <c r="G867" s="31"/>
      <c r="H867" s="30"/>
      <c r="I867" s="29"/>
    </row>
    <row r="868" spans="3:9" x14ac:dyDescent="0.4">
      <c r="C868" s="154"/>
      <c r="D868" s="37"/>
      <c r="E868" s="37"/>
      <c r="F868" s="31"/>
      <c r="G868" s="31"/>
      <c r="H868" s="30"/>
      <c r="I868" s="29"/>
    </row>
    <row r="869" spans="3:9" x14ac:dyDescent="0.4">
      <c r="C869" s="154"/>
      <c r="D869" s="37"/>
      <c r="E869" s="37"/>
      <c r="F869" s="31"/>
      <c r="G869" s="31"/>
      <c r="H869" s="30"/>
      <c r="I869" s="29"/>
    </row>
    <row r="870" spans="3:9" x14ac:dyDescent="0.4">
      <c r="C870" s="154"/>
      <c r="D870" s="37"/>
      <c r="E870" s="37"/>
      <c r="F870" s="31"/>
      <c r="G870" s="31"/>
      <c r="H870" s="30"/>
      <c r="I870" s="29"/>
    </row>
    <row r="871" spans="3:9" x14ac:dyDescent="0.4">
      <c r="C871" s="154"/>
      <c r="D871" s="37"/>
      <c r="E871" s="37"/>
      <c r="F871" s="31"/>
      <c r="G871" s="31"/>
      <c r="H871" s="30"/>
      <c r="I871" s="29"/>
    </row>
    <row r="872" spans="3:9" x14ac:dyDescent="0.4">
      <c r="C872" s="154"/>
      <c r="D872" s="37"/>
      <c r="E872" s="37"/>
      <c r="F872" s="31"/>
      <c r="G872" s="31"/>
      <c r="H872" s="30"/>
      <c r="I872" s="29"/>
    </row>
    <row r="873" spans="3:9" x14ac:dyDescent="0.4">
      <c r="C873" s="154"/>
      <c r="D873" s="37"/>
      <c r="E873" s="37"/>
      <c r="F873" s="31"/>
      <c r="G873" s="31"/>
      <c r="H873" s="30"/>
      <c r="I873" s="29"/>
    </row>
    <row r="874" spans="3:9" x14ac:dyDescent="0.4">
      <c r="C874" s="154"/>
      <c r="D874" s="37"/>
      <c r="E874" s="37"/>
      <c r="F874" s="31"/>
      <c r="G874" s="31"/>
      <c r="H874" s="30"/>
      <c r="I874" s="29"/>
    </row>
    <row r="875" spans="3:9" x14ac:dyDescent="0.4">
      <c r="C875" s="154"/>
      <c r="D875" s="37"/>
      <c r="E875" s="37"/>
      <c r="F875" s="31"/>
      <c r="G875" s="31"/>
      <c r="H875" s="30"/>
      <c r="I875" s="29"/>
    </row>
    <row r="876" spans="3:9" x14ac:dyDescent="0.4">
      <c r="C876" s="154"/>
      <c r="D876" s="37"/>
      <c r="E876" s="37"/>
      <c r="F876" s="31"/>
      <c r="G876" s="31"/>
      <c r="H876" s="30"/>
      <c r="I876" s="29"/>
    </row>
    <row r="877" spans="3:9" x14ac:dyDescent="0.4">
      <c r="C877" s="154"/>
      <c r="D877" s="37"/>
      <c r="E877" s="37"/>
      <c r="F877" s="31"/>
      <c r="G877" s="31"/>
      <c r="H877" s="30"/>
      <c r="I877" s="29"/>
    </row>
    <row r="878" spans="3:9" x14ac:dyDescent="0.4">
      <c r="C878" s="154"/>
      <c r="D878" s="37"/>
      <c r="E878" s="37"/>
      <c r="F878" s="31"/>
      <c r="G878" s="31"/>
      <c r="H878" s="30"/>
      <c r="I878" s="29"/>
    </row>
    <row r="879" spans="3:9" x14ac:dyDescent="0.4">
      <c r="C879" s="154"/>
      <c r="D879" s="37"/>
      <c r="E879" s="37"/>
      <c r="F879" s="31"/>
      <c r="G879" s="31"/>
      <c r="H879" s="30"/>
      <c r="I879" s="29"/>
    </row>
    <row r="880" spans="3:9" x14ac:dyDescent="0.4">
      <c r="C880" s="154"/>
      <c r="D880" s="37"/>
      <c r="E880" s="37"/>
      <c r="F880" s="31"/>
      <c r="G880" s="31"/>
      <c r="H880" s="30"/>
      <c r="I880" s="29"/>
    </row>
    <row r="881" spans="3:9" x14ac:dyDescent="0.4">
      <c r="C881" s="154"/>
      <c r="D881" s="37"/>
      <c r="E881" s="37"/>
      <c r="F881" s="31"/>
      <c r="G881" s="31"/>
      <c r="H881" s="30"/>
      <c r="I881" s="29"/>
    </row>
    <row r="882" spans="3:9" x14ac:dyDescent="0.4">
      <c r="C882" s="154"/>
      <c r="D882" s="37"/>
      <c r="E882" s="37"/>
      <c r="F882" s="31"/>
      <c r="G882" s="31"/>
      <c r="H882" s="30"/>
      <c r="I882" s="29"/>
    </row>
    <row r="883" spans="3:9" x14ac:dyDescent="0.4">
      <c r="C883" s="154"/>
      <c r="D883" s="37"/>
      <c r="E883" s="37"/>
      <c r="F883" s="31"/>
      <c r="G883" s="31"/>
      <c r="H883" s="30"/>
      <c r="I883" s="29"/>
    </row>
    <row r="884" spans="3:9" x14ac:dyDescent="0.4">
      <c r="C884" s="154"/>
      <c r="D884" s="37"/>
      <c r="E884" s="37"/>
      <c r="F884" s="31"/>
      <c r="G884" s="31"/>
      <c r="H884" s="30"/>
      <c r="I884" s="29"/>
    </row>
    <row r="885" spans="3:9" x14ac:dyDescent="0.4">
      <c r="C885" s="154"/>
      <c r="D885" s="37"/>
      <c r="E885" s="37"/>
      <c r="F885" s="31"/>
      <c r="G885" s="31"/>
      <c r="H885" s="30"/>
      <c r="I885" s="29"/>
    </row>
    <row r="886" spans="3:9" x14ac:dyDescent="0.4">
      <c r="C886" s="154"/>
      <c r="D886" s="37"/>
      <c r="E886" s="37"/>
      <c r="F886" s="31"/>
      <c r="G886" s="31"/>
      <c r="H886" s="30"/>
      <c r="I886" s="29"/>
    </row>
    <row r="887" spans="3:9" x14ac:dyDescent="0.4">
      <c r="C887" s="154"/>
      <c r="D887" s="37"/>
      <c r="E887" s="37"/>
      <c r="F887" s="31"/>
      <c r="G887" s="31"/>
      <c r="H887" s="30"/>
      <c r="I887" s="29"/>
    </row>
    <row r="888" spans="3:9" x14ac:dyDescent="0.4">
      <c r="C888" s="154"/>
      <c r="D888" s="37"/>
      <c r="E888" s="37"/>
      <c r="F888" s="31"/>
      <c r="G888" s="31"/>
      <c r="H888" s="30"/>
      <c r="I888" s="29"/>
    </row>
    <row r="889" spans="3:9" x14ac:dyDescent="0.4">
      <c r="C889" s="154"/>
      <c r="D889" s="37"/>
      <c r="E889" s="37"/>
      <c r="F889" s="31"/>
      <c r="G889" s="31"/>
      <c r="H889" s="30"/>
      <c r="I889" s="29"/>
    </row>
    <row r="890" spans="3:9" x14ac:dyDescent="0.4">
      <c r="C890" s="154"/>
      <c r="D890" s="37"/>
      <c r="E890" s="37"/>
      <c r="F890" s="31"/>
      <c r="G890" s="31"/>
      <c r="H890" s="30"/>
      <c r="I890" s="29"/>
    </row>
    <row r="891" spans="3:9" x14ac:dyDescent="0.4">
      <c r="C891" s="154"/>
      <c r="D891" s="37"/>
      <c r="E891" s="37"/>
      <c r="F891" s="31"/>
      <c r="G891" s="31"/>
      <c r="H891" s="30"/>
      <c r="I891" s="29"/>
    </row>
    <row r="892" spans="3:9" x14ac:dyDescent="0.4">
      <c r="C892" s="154"/>
      <c r="D892" s="37"/>
      <c r="E892" s="37"/>
      <c r="F892" s="31"/>
      <c r="G892" s="31"/>
      <c r="H892" s="30"/>
      <c r="I892" s="29"/>
    </row>
    <row r="893" spans="3:9" x14ac:dyDescent="0.4">
      <c r="C893" s="154"/>
      <c r="D893" s="37"/>
      <c r="E893" s="37"/>
      <c r="F893" s="31"/>
      <c r="G893" s="31"/>
      <c r="H893" s="30"/>
      <c r="I893" s="29"/>
    </row>
    <row r="894" spans="3:9" x14ac:dyDescent="0.4">
      <c r="C894" s="154"/>
      <c r="D894" s="37"/>
      <c r="E894" s="37"/>
      <c r="F894" s="31"/>
      <c r="G894" s="31"/>
      <c r="H894" s="30"/>
      <c r="I894" s="29"/>
    </row>
    <row r="895" spans="3:9" x14ac:dyDescent="0.4">
      <c r="C895" s="154"/>
      <c r="D895" s="37"/>
      <c r="E895" s="37"/>
      <c r="F895" s="31"/>
      <c r="G895" s="31"/>
      <c r="H895" s="30"/>
      <c r="I895" s="29"/>
    </row>
    <row r="896" spans="3:9" x14ac:dyDescent="0.4">
      <c r="C896" s="154"/>
      <c r="D896" s="37"/>
      <c r="E896" s="37"/>
      <c r="F896" s="31"/>
      <c r="G896" s="31"/>
      <c r="H896" s="30"/>
      <c r="I896" s="29"/>
    </row>
    <row r="897" spans="3:9" x14ac:dyDescent="0.4">
      <c r="C897" s="154"/>
      <c r="D897" s="37"/>
      <c r="E897" s="37"/>
      <c r="F897" s="31"/>
      <c r="G897" s="31"/>
      <c r="H897" s="30"/>
      <c r="I897" s="29"/>
    </row>
    <row r="898" spans="3:9" x14ac:dyDescent="0.4">
      <c r="C898" s="154"/>
      <c r="D898" s="37"/>
      <c r="E898" s="37"/>
      <c r="F898" s="31"/>
      <c r="G898" s="31"/>
      <c r="H898" s="30"/>
      <c r="I898" s="29"/>
    </row>
    <row r="899" spans="3:9" x14ac:dyDescent="0.4">
      <c r="C899" s="154"/>
      <c r="D899" s="37"/>
      <c r="E899" s="37"/>
      <c r="F899" s="31"/>
      <c r="G899" s="31"/>
      <c r="H899" s="30"/>
      <c r="I899" s="29"/>
    </row>
    <row r="900" spans="3:9" x14ac:dyDescent="0.4">
      <c r="C900" s="154"/>
      <c r="D900" s="37"/>
      <c r="E900" s="37"/>
      <c r="F900" s="31"/>
      <c r="G900" s="31"/>
      <c r="H900" s="30"/>
      <c r="I900" s="29"/>
    </row>
    <row r="901" spans="3:9" x14ac:dyDescent="0.4">
      <c r="C901" s="154"/>
      <c r="D901" s="37"/>
      <c r="E901" s="37"/>
      <c r="F901" s="31"/>
      <c r="G901" s="31"/>
      <c r="H901" s="30"/>
      <c r="I901" s="29"/>
    </row>
    <row r="902" spans="3:9" x14ac:dyDescent="0.4">
      <c r="C902" s="154"/>
      <c r="D902" s="37"/>
      <c r="E902" s="37"/>
      <c r="F902" s="31"/>
      <c r="G902" s="31"/>
      <c r="H902" s="30"/>
      <c r="I902" s="29"/>
    </row>
    <row r="903" spans="3:9" x14ac:dyDescent="0.4">
      <c r="C903" s="154"/>
      <c r="D903" s="37"/>
      <c r="E903" s="37"/>
      <c r="F903" s="31"/>
      <c r="G903" s="31"/>
      <c r="H903" s="30"/>
      <c r="I903" s="29"/>
    </row>
    <row r="904" spans="3:9" x14ac:dyDescent="0.4">
      <c r="C904" s="154"/>
      <c r="D904" s="37"/>
      <c r="E904" s="37"/>
      <c r="F904" s="31"/>
      <c r="G904" s="31"/>
      <c r="H904" s="30"/>
      <c r="I904" s="29"/>
    </row>
    <row r="905" spans="3:9" x14ac:dyDescent="0.4">
      <c r="C905" s="154"/>
      <c r="D905" s="37"/>
      <c r="E905" s="37"/>
      <c r="F905" s="31"/>
      <c r="G905" s="31"/>
      <c r="H905" s="30"/>
      <c r="I905" s="29"/>
    </row>
    <row r="906" spans="3:9" x14ac:dyDescent="0.4">
      <c r="C906" s="154"/>
      <c r="D906" s="37"/>
      <c r="E906" s="37"/>
      <c r="F906" s="31"/>
      <c r="G906" s="31"/>
      <c r="H906" s="30"/>
      <c r="I906" s="29"/>
    </row>
    <row r="907" spans="3:9" x14ac:dyDescent="0.4">
      <c r="C907" s="154"/>
      <c r="D907" s="37"/>
      <c r="E907" s="37"/>
      <c r="F907" s="31"/>
      <c r="G907" s="31"/>
      <c r="H907" s="30"/>
      <c r="I907" s="29"/>
    </row>
    <row r="908" spans="3:9" x14ac:dyDescent="0.4">
      <c r="C908" s="154"/>
      <c r="D908" s="37"/>
      <c r="E908" s="37"/>
      <c r="F908" s="31"/>
      <c r="G908" s="31"/>
      <c r="H908" s="30"/>
      <c r="I908" s="29"/>
    </row>
    <row r="909" spans="3:9" x14ac:dyDescent="0.4">
      <c r="C909" s="154"/>
      <c r="D909" s="37"/>
      <c r="E909" s="37"/>
      <c r="F909" s="31"/>
      <c r="G909" s="31"/>
      <c r="H909" s="30"/>
      <c r="I909" s="29"/>
    </row>
    <row r="910" spans="3:9" x14ac:dyDescent="0.4">
      <c r="C910" s="154"/>
      <c r="D910" s="37"/>
      <c r="E910" s="37"/>
      <c r="F910" s="31"/>
      <c r="G910" s="31"/>
      <c r="H910" s="30"/>
      <c r="I910" s="29"/>
    </row>
    <row r="911" spans="3:9" x14ac:dyDescent="0.4">
      <c r="C911" s="154"/>
      <c r="D911" s="37"/>
      <c r="E911" s="37"/>
      <c r="F911" s="31"/>
      <c r="G911" s="31"/>
      <c r="H911" s="30"/>
      <c r="I911" s="29"/>
    </row>
    <row r="912" spans="3:9" x14ac:dyDescent="0.4">
      <c r="C912" s="154"/>
      <c r="D912" s="37"/>
      <c r="E912" s="37"/>
      <c r="F912" s="31"/>
      <c r="G912" s="31"/>
      <c r="H912" s="30"/>
      <c r="I912" s="29"/>
    </row>
    <row r="913" spans="3:9" x14ac:dyDescent="0.4">
      <c r="C913" s="154"/>
      <c r="D913" s="37"/>
      <c r="E913" s="37"/>
      <c r="F913" s="31"/>
      <c r="G913" s="31"/>
      <c r="H913" s="30"/>
      <c r="I913" s="29"/>
    </row>
    <row r="914" spans="3:9" x14ac:dyDescent="0.4">
      <c r="C914" s="154"/>
      <c r="D914" s="37"/>
      <c r="E914" s="37"/>
      <c r="F914" s="31"/>
      <c r="G914" s="31"/>
      <c r="H914" s="30"/>
      <c r="I914" s="29"/>
    </row>
    <row r="915" spans="3:9" x14ac:dyDescent="0.4">
      <c r="C915" s="154"/>
      <c r="D915" s="37"/>
      <c r="E915" s="37"/>
      <c r="F915" s="31"/>
      <c r="G915" s="31"/>
      <c r="H915" s="30"/>
      <c r="I915" s="29"/>
    </row>
    <row r="916" spans="3:9" x14ac:dyDescent="0.4">
      <c r="C916" s="154"/>
      <c r="D916" s="37"/>
      <c r="E916" s="37"/>
      <c r="F916" s="31"/>
      <c r="G916" s="31"/>
      <c r="H916" s="30"/>
      <c r="I916" s="29"/>
    </row>
    <row r="917" spans="3:9" x14ac:dyDescent="0.4">
      <c r="C917" s="154"/>
      <c r="D917" s="37"/>
      <c r="E917" s="37"/>
      <c r="F917" s="31"/>
      <c r="G917" s="31"/>
      <c r="H917" s="30"/>
      <c r="I917" s="29"/>
    </row>
    <row r="918" spans="3:9" x14ac:dyDescent="0.4">
      <c r="C918" s="154"/>
      <c r="D918" s="37"/>
      <c r="E918" s="37"/>
      <c r="F918" s="31"/>
      <c r="G918" s="31"/>
      <c r="H918" s="30"/>
      <c r="I918" s="29"/>
    </row>
    <row r="919" spans="3:9" x14ac:dyDescent="0.4">
      <c r="C919" s="154"/>
      <c r="D919" s="37"/>
      <c r="E919" s="37"/>
      <c r="F919" s="31"/>
      <c r="G919" s="31"/>
      <c r="H919" s="30"/>
      <c r="I919" s="29"/>
    </row>
    <row r="920" spans="3:9" x14ac:dyDescent="0.4">
      <c r="C920" s="154"/>
      <c r="D920" s="37"/>
      <c r="E920" s="37"/>
      <c r="F920" s="31"/>
      <c r="G920" s="31"/>
      <c r="H920" s="30"/>
      <c r="I920" s="29"/>
    </row>
    <row r="921" spans="3:9" x14ac:dyDescent="0.4">
      <c r="C921" s="154"/>
      <c r="D921" s="37"/>
      <c r="E921" s="37"/>
      <c r="F921" s="31"/>
      <c r="G921" s="31"/>
      <c r="H921" s="30"/>
      <c r="I921" s="29"/>
    </row>
    <row r="922" spans="3:9" x14ac:dyDescent="0.4">
      <c r="C922" s="154"/>
      <c r="D922" s="37"/>
      <c r="E922" s="37"/>
      <c r="F922" s="31"/>
      <c r="G922" s="31"/>
      <c r="H922" s="30"/>
      <c r="I922" s="29"/>
    </row>
    <row r="923" spans="3:9" x14ac:dyDescent="0.4">
      <c r="C923" s="154"/>
      <c r="D923" s="37"/>
      <c r="E923" s="37"/>
      <c r="F923" s="31"/>
      <c r="G923" s="31"/>
      <c r="H923" s="30"/>
      <c r="I923" s="29"/>
    </row>
    <row r="924" spans="3:9" x14ac:dyDescent="0.4">
      <c r="C924" s="154"/>
      <c r="D924" s="37"/>
      <c r="E924" s="37"/>
      <c r="F924" s="31"/>
      <c r="G924" s="31"/>
      <c r="H924" s="30"/>
      <c r="I924" s="29"/>
    </row>
    <row r="925" spans="3:9" x14ac:dyDescent="0.4">
      <c r="C925" s="154"/>
      <c r="D925" s="37"/>
      <c r="E925" s="37"/>
      <c r="F925" s="31"/>
      <c r="G925" s="31"/>
      <c r="H925" s="30"/>
      <c r="I925" s="29"/>
    </row>
    <row r="926" spans="3:9" x14ac:dyDescent="0.4">
      <c r="C926" s="154"/>
      <c r="D926" s="37"/>
      <c r="E926" s="37"/>
      <c r="F926" s="31"/>
      <c r="G926" s="31"/>
      <c r="H926" s="30"/>
      <c r="I926" s="29"/>
    </row>
    <row r="927" spans="3:9" x14ac:dyDescent="0.4">
      <c r="C927" s="154"/>
      <c r="D927" s="37"/>
      <c r="E927" s="37"/>
      <c r="F927" s="31"/>
      <c r="G927" s="31"/>
      <c r="H927" s="30"/>
      <c r="I927" s="29"/>
    </row>
    <row r="928" spans="3:9" x14ac:dyDescent="0.4">
      <c r="C928" s="154"/>
      <c r="D928" s="37"/>
      <c r="E928" s="37"/>
      <c r="F928" s="31"/>
      <c r="G928" s="31"/>
      <c r="H928" s="30"/>
      <c r="I928" s="29"/>
    </row>
    <row r="929" spans="3:9" x14ac:dyDescent="0.4">
      <c r="C929" s="154"/>
      <c r="D929" s="37"/>
      <c r="E929" s="37"/>
      <c r="F929" s="31"/>
      <c r="G929" s="31"/>
      <c r="H929" s="30"/>
      <c r="I929" s="29"/>
    </row>
    <row r="930" spans="3:9" x14ac:dyDescent="0.4">
      <c r="C930" s="154"/>
      <c r="D930" s="37"/>
      <c r="E930" s="37"/>
      <c r="F930" s="31"/>
      <c r="G930" s="31"/>
      <c r="H930" s="30"/>
      <c r="I930" s="29"/>
    </row>
    <row r="931" spans="3:9" x14ac:dyDescent="0.4">
      <c r="C931" s="154"/>
      <c r="D931" s="37"/>
      <c r="E931" s="37"/>
      <c r="F931" s="31"/>
      <c r="G931" s="31"/>
      <c r="H931" s="30"/>
      <c r="I931" s="29"/>
    </row>
    <row r="932" spans="3:9" x14ac:dyDescent="0.4">
      <c r="C932" s="154"/>
      <c r="D932" s="37"/>
      <c r="E932" s="37"/>
      <c r="F932" s="31"/>
      <c r="G932" s="31"/>
      <c r="H932" s="30"/>
      <c r="I932" s="29"/>
    </row>
    <row r="933" spans="3:9" x14ac:dyDescent="0.4">
      <c r="C933" s="154"/>
      <c r="D933" s="37"/>
      <c r="E933" s="37"/>
      <c r="F933" s="31"/>
      <c r="G933" s="31"/>
      <c r="H933" s="30"/>
      <c r="I933" s="29"/>
    </row>
    <row r="934" spans="3:9" x14ac:dyDescent="0.4">
      <c r="C934" s="154"/>
      <c r="D934" s="37"/>
      <c r="E934" s="37"/>
      <c r="F934" s="31"/>
      <c r="G934" s="31"/>
      <c r="H934" s="30"/>
      <c r="I934" s="29"/>
    </row>
    <row r="935" spans="3:9" x14ac:dyDescent="0.4">
      <c r="C935" s="154"/>
      <c r="D935" s="37"/>
      <c r="E935" s="37"/>
      <c r="F935" s="31"/>
      <c r="G935" s="31"/>
      <c r="H935" s="30"/>
      <c r="I935" s="29"/>
    </row>
    <row r="936" spans="3:9" x14ac:dyDescent="0.4">
      <c r="C936" s="154"/>
      <c r="D936" s="37"/>
      <c r="E936" s="37"/>
      <c r="F936" s="31"/>
      <c r="G936" s="31"/>
      <c r="H936" s="30"/>
      <c r="I936" s="29"/>
    </row>
    <row r="937" spans="3:9" x14ac:dyDescent="0.4">
      <c r="C937" s="154"/>
      <c r="D937" s="37"/>
      <c r="E937" s="37"/>
      <c r="F937" s="31"/>
      <c r="G937" s="31"/>
      <c r="H937" s="30"/>
      <c r="I937" s="29"/>
    </row>
    <row r="938" spans="3:9" x14ac:dyDescent="0.4">
      <c r="C938" s="154"/>
      <c r="D938" s="37"/>
      <c r="E938" s="37"/>
      <c r="F938" s="31"/>
      <c r="G938" s="31"/>
      <c r="H938" s="30"/>
      <c r="I938" s="29"/>
    </row>
    <row r="939" spans="3:9" x14ac:dyDescent="0.4">
      <c r="C939" s="154"/>
      <c r="D939" s="37"/>
      <c r="E939" s="37"/>
      <c r="F939" s="31"/>
      <c r="G939" s="31"/>
      <c r="H939" s="30"/>
      <c r="I939" s="29"/>
    </row>
    <row r="940" spans="3:9" x14ac:dyDescent="0.4">
      <c r="C940" s="154"/>
      <c r="D940" s="37"/>
      <c r="E940" s="37"/>
      <c r="F940" s="31"/>
      <c r="G940" s="31"/>
      <c r="H940" s="30"/>
      <c r="I940" s="29"/>
    </row>
    <row r="941" spans="3:9" x14ac:dyDescent="0.4">
      <c r="C941" s="154"/>
      <c r="D941" s="37"/>
      <c r="E941" s="37"/>
      <c r="F941" s="31"/>
      <c r="G941" s="31"/>
      <c r="H941" s="30"/>
      <c r="I941" s="29"/>
    </row>
    <row r="942" spans="3:9" x14ac:dyDescent="0.4">
      <c r="C942" s="154"/>
      <c r="D942" s="37"/>
      <c r="E942" s="37"/>
      <c r="F942" s="31"/>
      <c r="G942" s="31"/>
      <c r="H942" s="30"/>
      <c r="I942" s="29"/>
    </row>
    <row r="943" spans="3:9" x14ac:dyDescent="0.4">
      <c r="C943" s="154"/>
      <c r="D943" s="37"/>
      <c r="E943" s="37"/>
      <c r="F943" s="31"/>
      <c r="G943" s="31"/>
      <c r="H943" s="30"/>
      <c r="I943" s="29"/>
    </row>
    <row r="944" spans="3:9" x14ac:dyDescent="0.4">
      <c r="C944" s="154"/>
      <c r="D944" s="37"/>
      <c r="E944" s="37"/>
      <c r="F944" s="31"/>
      <c r="G944" s="31"/>
      <c r="H944" s="30"/>
      <c r="I944" s="29"/>
    </row>
    <row r="945" spans="3:9" x14ac:dyDescent="0.4">
      <c r="C945" s="154"/>
      <c r="D945" s="37"/>
      <c r="E945" s="37"/>
      <c r="F945" s="31"/>
      <c r="G945" s="31"/>
      <c r="H945" s="30"/>
      <c r="I945" s="29"/>
    </row>
    <row r="946" spans="3:9" x14ac:dyDescent="0.4">
      <c r="C946" s="154"/>
      <c r="D946" s="37"/>
      <c r="E946" s="37"/>
      <c r="F946" s="31"/>
      <c r="G946" s="31"/>
      <c r="H946" s="30"/>
      <c r="I946" s="29"/>
    </row>
    <row r="947" spans="3:9" x14ac:dyDescent="0.4">
      <c r="C947" s="154"/>
      <c r="D947" s="37"/>
      <c r="E947" s="37"/>
      <c r="F947" s="31"/>
      <c r="G947" s="31"/>
      <c r="H947" s="30"/>
      <c r="I947" s="29"/>
    </row>
    <row r="948" spans="3:9" x14ac:dyDescent="0.4">
      <c r="C948" s="154"/>
      <c r="D948" s="37"/>
      <c r="E948" s="37"/>
      <c r="F948" s="31"/>
      <c r="G948" s="31"/>
      <c r="H948" s="30"/>
      <c r="I948" s="29"/>
    </row>
    <row r="949" spans="3:9" x14ac:dyDescent="0.4">
      <c r="C949" s="154"/>
      <c r="D949" s="37"/>
      <c r="E949" s="37"/>
      <c r="F949" s="31"/>
      <c r="G949" s="31"/>
      <c r="H949" s="30"/>
      <c r="I949" s="29"/>
    </row>
    <row r="950" spans="3:9" x14ac:dyDescent="0.4">
      <c r="C950" s="154"/>
      <c r="D950" s="37"/>
      <c r="E950" s="37"/>
      <c r="F950" s="31"/>
      <c r="G950" s="31"/>
      <c r="H950" s="30"/>
      <c r="I950" s="29"/>
    </row>
    <row r="951" spans="3:9" x14ac:dyDescent="0.4">
      <c r="C951" s="154"/>
      <c r="D951" s="37"/>
      <c r="E951" s="37"/>
      <c r="F951" s="31"/>
      <c r="G951" s="31"/>
      <c r="H951" s="30"/>
      <c r="I951" s="29"/>
    </row>
    <row r="952" spans="3:9" x14ac:dyDescent="0.4">
      <c r="C952" s="154"/>
      <c r="D952" s="37"/>
      <c r="E952" s="37"/>
      <c r="F952" s="31"/>
      <c r="G952" s="31"/>
      <c r="H952" s="30"/>
      <c r="I952" s="29"/>
    </row>
    <row r="953" spans="3:9" x14ac:dyDescent="0.4">
      <c r="C953" s="154"/>
      <c r="D953" s="37"/>
      <c r="E953" s="37"/>
      <c r="F953" s="31"/>
      <c r="G953" s="31"/>
      <c r="H953" s="30"/>
      <c r="I953" s="29"/>
    </row>
    <row r="954" spans="3:9" x14ac:dyDescent="0.4">
      <c r="C954" s="154"/>
      <c r="D954" s="37"/>
      <c r="E954" s="37"/>
      <c r="F954" s="31"/>
      <c r="G954" s="31"/>
      <c r="H954" s="30"/>
      <c r="I954" s="29"/>
    </row>
    <row r="955" spans="3:9" x14ac:dyDescent="0.4">
      <c r="C955" s="154"/>
      <c r="D955" s="37"/>
      <c r="E955" s="37"/>
      <c r="F955" s="31"/>
      <c r="G955" s="31"/>
      <c r="H955" s="30"/>
      <c r="I955" s="29"/>
    </row>
    <row r="956" spans="3:9" x14ac:dyDescent="0.4">
      <c r="C956" s="154"/>
      <c r="D956" s="37"/>
      <c r="E956" s="37"/>
      <c r="F956" s="31"/>
      <c r="G956" s="31"/>
      <c r="H956" s="30"/>
      <c r="I956" s="29"/>
    </row>
    <row r="957" spans="3:9" x14ac:dyDescent="0.4">
      <c r="C957" s="154"/>
      <c r="D957" s="37"/>
      <c r="E957" s="37"/>
      <c r="F957" s="31"/>
      <c r="G957" s="31"/>
      <c r="H957" s="30"/>
      <c r="I957" s="29"/>
    </row>
    <row r="958" spans="3:9" x14ac:dyDescent="0.4">
      <c r="C958" s="154"/>
      <c r="D958" s="37"/>
      <c r="E958" s="37"/>
      <c r="F958" s="31"/>
      <c r="G958" s="31"/>
      <c r="H958" s="30"/>
      <c r="I958" s="29"/>
    </row>
    <row r="959" spans="3:9" x14ac:dyDescent="0.4">
      <c r="C959" s="154"/>
      <c r="D959" s="37"/>
      <c r="E959" s="37"/>
      <c r="F959" s="31"/>
      <c r="G959" s="31"/>
      <c r="H959" s="30"/>
      <c r="I959" s="29"/>
    </row>
    <row r="960" spans="3:9" x14ac:dyDescent="0.4">
      <c r="C960" s="154"/>
      <c r="D960" s="37"/>
      <c r="E960" s="37"/>
      <c r="F960" s="31"/>
      <c r="G960" s="31"/>
      <c r="H960" s="30"/>
      <c r="I960" s="29"/>
    </row>
    <row r="961" spans="3:9" x14ac:dyDescent="0.4">
      <c r="C961" s="154"/>
      <c r="D961" s="37"/>
      <c r="E961" s="37"/>
      <c r="F961" s="31"/>
      <c r="G961" s="31"/>
      <c r="H961" s="30"/>
      <c r="I961" s="29"/>
    </row>
    <row r="962" spans="3:9" x14ac:dyDescent="0.4">
      <c r="C962" s="154"/>
      <c r="D962" s="37"/>
      <c r="E962" s="37"/>
      <c r="F962" s="31"/>
      <c r="G962" s="31"/>
      <c r="H962" s="30"/>
      <c r="I962" s="29"/>
    </row>
    <row r="963" spans="3:9" x14ac:dyDescent="0.4">
      <c r="C963" s="154"/>
      <c r="D963" s="37"/>
      <c r="E963" s="37"/>
      <c r="F963" s="31"/>
      <c r="G963" s="31"/>
      <c r="H963" s="30"/>
      <c r="I963" s="29"/>
    </row>
    <row r="964" spans="3:9" x14ac:dyDescent="0.4">
      <c r="C964" s="154"/>
      <c r="D964" s="37"/>
      <c r="E964" s="37"/>
      <c r="F964" s="31"/>
      <c r="G964" s="31"/>
      <c r="H964" s="30"/>
      <c r="I964" s="29"/>
    </row>
    <row r="965" spans="3:9" x14ac:dyDescent="0.4">
      <c r="C965" s="154"/>
      <c r="D965" s="37"/>
      <c r="E965" s="37"/>
      <c r="F965" s="31"/>
      <c r="G965" s="31"/>
      <c r="H965" s="30"/>
      <c r="I965" s="29"/>
    </row>
    <row r="966" spans="3:9" x14ac:dyDescent="0.4">
      <c r="C966" s="154"/>
      <c r="D966" s="37"/>
      <c r="E966" s="37"/>
      <c r="F966" s="31"/>
      <c r="G966" s="31"/>
      <c r="H966" s="30"/>
      <c r="I966" s="29"/>
    </row>
    <row r="967" spans="3:9" x14ac:dyDescent="0.4">
      <c r="C967" s="154"/>
      <c r="D967" s="37"/>
      <c r="E967" s="37"/>
      <c r="F967" s="31"/>
      <c r="G967" s="31"/>
      <c r="H967" s="30"/>
      <c r="I967" s="29"/>
    </row>
    <row r="968" spans="3:9" x14ac:dyDescent="0.4">
      <c r="C968" s="154"/>
      <c r="D968" s="37"/>
      <c r="E968" s="37"/>
      <c r="F968" s="31"/>
      <c r="G968" s="31"/>
      <c r="H968" s="30"/>
      <c r="I968" s="29"/>
    </row>
    <row r="969" spans="3:9" x14ac:dyDescent="0.4">
      <c r="C969" s="154"/>
      <c r="D969" s="37"/>
      <c r="E969" s="37"/>
      <c r="F969" s="31"/>
      <c r="G969" s="31"/>
      <c r="H969" s="30"/>
      <c r="I969" s="29"/>
    </row>
    <row r="970" spans="3:9" x14ac:dyDescent="0.4">
      <c r="C970" s="154"/>
      <c r="D970" s="37"/>
      <c r="E970" s="37"/>
      <c r="F970" s="31"/>
      <c r="G970" s="31"/>
      <c r="H970" s="30"/>
      <c r="I970" s="29"/>
    </row>
    <row r="971" spans="3:9" x14ac:dyDescent="0.4">
      <c r="C971" s="154"/>
      <c r="D971" s="37"/>
      <c r="E971" s="37"/>
      <c r="F971" s="31"/>
      <c r="G971" s="31"/>
      <c r="H971" s="30"/>
      <c r="I971" s="29"/>
    </row>
    <row r="972" spans="3:9" x14ac:dyDescent="0.4">
      <c r="C972" s="154"/>
      <c r="D972" s="37"/>
      <c r="E972" s="37"/>
      <c r="F972" s="31"/>
      <c r="G972" s="31"/>
      <c r="H972" s="30"/>
      <c r="I972" s="29"/>
    </row>
    <row r="973" spans="3:9" x14ac:dyDescent="0.4">
      <c r="C973" s="154"/>
      <c r="D973" s="37"/>
      <c r="E973" s="37"/>
      <c r="F973" s="31"/>
      <c r="G973" s="31"/>
      <c r="H973" s="30"/>
      <c r="I973" s="29"/>
    </row>
    <row r="974" spans="3:9" x14ac:dyDescent="0.4">
      <c r="C974" s="154"/>
      <c r="D974" s="37"/>
      <c r="E974" s="37"/>
      <c r="F974" s="31"/>
      <c r="G974" s="31"/>
      <c r="H974" s="30"/>
      <c r="I974" s="29"/>
    </row>
    <row r="975" spans="3:9" x14ac:dyDescent="0.4">
      <c r="C975" s="154"/>
      <c r="D975" s="37"/>
      <c r="E975" s="37"/>
      <c r="F975" s="31"/>
      <c r="G975" s="31"/>
      <c r="H975" s="30"/>
      <c r="I975" s="29"/>
    </row>
    <row r="976" spans="3:9" x14ac:dyDescent="0.4">
      <c r="C976" s="154"/>
      <c r="D976" s="37"/>
      <c r="E976" s="37"/>
      <c r="F976" s="31"/>
      <c r="G976" s="31"/>
      <c r="H976" s="30"/>
      <c r="I976" s="29"/>
    </row>
    <row r="977" spans="3:9" x14ac:dyDescent="0.4">
      <c r="C977" s="154"/>
      <c r="D977" s="37"/>
      <c r="E977" s="37"/>
      <c r="F977" s="31"/>
      <c r="G977" s="31"/>
      <c r="H977" s="30"/>
      <c r="I977" s="29"/>
    </row>
    <row r="978" spans="3:9" x14ac:dyDescent="0.4">
      <c r="C978" s="154"/>
      <c r="D978" s="37"/>
      <c r="E978" s="37"/>
      <c r="F978" s="31"/>
      <c r="G978" s="31"/>
      <c r="H978" s="30"/>
      <c r="I978" s="29"/>
    </row>
    <row r="979" spans="3:9" x14ac:dyDescent="0.4">
      <c r="C979" s="154"/>
      <c r="D979" s="37"/>
      <c r="E979" s="37"/>
      <c r="F979" s="31"/>
      <c r="G979" s="31"/>
      <c r="H979" s="30"/>
      <c r="I979" s="29"/>
    </row>
    <row r="980" spans="3:9" x14ac:dyDescent="0.4">
      <c r="C980" s="154"/>
      <c r="D980" s="37"/>
      <c r="E980" s="37"/>
      <c r="F980" s="31"/>
      <c r="G980" s="31"/>
      <c r="H980" s="30"/>
      <c r="I980" s="29"/>
    </row>
    <row r="981" spans="3:9" x14ac:dyDescent="0.4">
      <c r="C981" s="154"/>
      <c r="D981" s="37"/>
      <c r="E981" s="37"/>
      <c r="F981" s="31"/>
      <c r="G981" s="31"/>
      <c r="H981" s="30"/>
      <c r="I981" s="29"/>
    </row>
    <row r="982" spans="3:9" x14ac:dyDescent="0.4">
      <c r="C982" s="154"/>
      <c r="D982" s="37"/>
      <c r="E982" s="37"/>
      <c r="F982" s="31"/>
      <c r="G982" s="31"/>
      <c r="H982" s="30"/>
      <c r="I982" s="29"/>
    </row>
    <row r="983" spans="3:9" x14ac:dyDescent="0.4">
      <c r="C983" s="154"/>
      <c r="D983" s="37"/>
      <c r="E983" s="37"/>
      <c r="F983" s="31"/>
      <c r="G983" s="31"/>
      <c r="H983" s="30"/>
      <c r="I983" s="29"/>
    </row>
    <row r="984" spans="3:9" x14ac:dyDescent="0.4">
      <c r="C984" s="154"/>
      <c r="D984" s="37"/>
      <c r="E984" s="37"/>
      <c r="F984" s="31"/>
      <c r="G984" s="31"/>
      <c r="H984" s="30"/>
      <c r="I984" s="29"/>
    </row>
    <row r="985" spans="3:9" x14ac:dyDescent="0.4">
      <c r="C985" s="154"/>
      <c r="D985" s="37"/>
      <c r="E985" s="37"/>
      <c r="F985" s="31"/>
      <c r="G985" s="31"/>
      <c r="H985" s="30"/>
      <c r="I985" s="29"/>
    </row>
    <row r="986" spans="3:9" x14ac:dyDescent="0.4">
      <c r="C986" s="154"/>
      <c r="D986" s="37"/>
      <c r="E986" s="37"/>
      <c r="F986" s="31"/>
      <c r="G986" s="31"/>
      <c r="H986" s="30"/>
      <c r="I986" s="29"/>
    </row>
    <row r="987" spans="3:9" x14ac:dyDescent="0.4">
      <c r="C987" s="154"/>
      <c r="D987" s="37"/>
      <c r="E987" s="37"/>
      <c r="F987" s="31"/>
      <c r="G987" s="31"/>
      <c r="H987" s="30"/>
      <c r="I987" s="29"/>
    </row>
    <row r="988" spans="3:9" x14ac:dyDescent="0.4">
      <c r="C988" s="154"/>
      <c r="D988" s="37"/>
      <c r="E988" s="37"/>
      <c r="F988" s="31"/>
      <c r="G988" s="31"/>
      <c r="H988" s="30"/>
      <c r="I988" s="29"/>
    </row>
    <row r="989" spans="3:9" x14ac:dyDescent="0.4">
      <c r="C989" s="154"/>
      <c r="D989" s="37"/>
      <c r="E989" s="37"/>
      <c r="F989" s="31"/>
      <c r="G989" s="31"/>
      <c r="H989" s="30"/>
      <c r="I989" s="29"/>
    </row>
    <row r="990" spans="3:9" x14ac:dyDescent="0.4">
      <c r="C990" s="154"/>
      <c r="D990" s="37"/>
      <c r="E990" s="37"/>
      <c r="F990" s="31"/>
      <c r="G990" s="31"/>
      <c r="H990" s="30"/>
      <c r="I990" s="29"/>
    </row>
    <row r="991" spans="3:9" x14ac:dyDescent="0.4">
      <c r="C991" s="154"/>
      <c r="D991" s="37"/>
      <c r="E991" s="37"/>
      <c r="F991" s="31"/>
      <c r="G991" s="31"/>
      <c r="H991" s="30"/>
      <c r="I991" s="29"/>
    </row>
    <row r="992" spans="3:9" x14ac:dyDescent="0.4">
      <c r="C992" s="154"/>
      <c r="D992" s="37"/>
      <c r="E992" s="37"/>
      <c r="F992" s="31"/>
      <c r="G992" s="31"/>
      <c r="H992" s="30"/>
      <c r="I992" s="29"/>
    </row>
    <row r="993" spans="3:9" x14ac:dyDescent="0.4">
      <c r="C993" s="154"/>
      <c r="D993" s="37"/>
      <c r="E993" s="37"/>
      <c r="F993" s="31"/>
      <c r="G993" s="31"/>
      <c r="H993" s="30"/>
      <c r="I993" s="29"/>
    </row>
    <row r="994" spans="3:9" x14ac:dyDescent="0.4">
      <c r="C994" s="154"/>
      <c r="D994" s="37"/>
      <c r="E994" s="37"/>
      <c r="F994" s="31"/>
      <c r="G994" s="31"/>
      <c r="H994" s="30"/>
      <c r="I994" s="29"/>
    </row>
    <row r="995" spans="3:9" x14ac:dyDescent="0.4">
      <c r="C995" s="154"/>
      <c r="D995" s="37"/>
      <c r="E995" s="37"/>
      <c r="F995" s="31"/>
      <c r="G995" s="31"/>
      <c r="H995" s="30"/>
      <c r="I995" s="29"/>
    </row>
    <row r="996" spans="3:9" x14ac:dyDescent="0.4">
      <c r="C996" s="154"/>
      <c r="D996" s="37"/>
      <c r="E996" s="37"/>
      <c r="F996" s="31"/>
      <c r="G996" s="31"/>
      <c r="H996" s="30"/>
      <c r="I996" s="29"/>
    </row>
    <row r="997" spans="3:9" x14ac:dyDescent="0.4">
      <c r="C997" s="154"/>
      <c r="D997" s="37"/>
      <c r="E997" s="37"/>
      <c r="F997" s="31"/>
      <c r="G997" s="31"/>
      <c r="H997" s="30"/>
      <c r="I997" s="29"/>
    </row>
    <row r="998" spans="3:9" x14ac:dyDescent="0.4">
      <c r="C998" s="154"/>
      <c r="D998" s="37"/>
      <c r="E998" s="37"/>
      <c r="F998" s="31"/>
      <c r="G998" s="31"/>
      <c r="H998" s="30"/>
      <c r="I998" s="29"/>
    </row>
    <row r="999" spans="3:9" x14ac:dyDescent="0.4">
      <c r="C999" s="154"/>
      <c r="D999" s="37"/>
      <c r="E999" s="37"/>
      <c r="F999" s="31"/>
      <c r="G999" s="31"/>
      <c r="H999" s="30"/>
      <c r="I999" s="29"/>
    </row>
    <row r="1000" spans="3:9" x14ac:dyDescent="0.4">
      <c r="C1000" s="154"/>
      <c r="D1000" s="37"/>
      <c r="E1000" s="37"/>
      <c r="F1000" s="31"/>
      <c r="G1000" s="31"/>
      <c r="H1000" s="30"/>
      <c r="I1000" s="29"/>
    </row>
  </sheetData>
  <sheetProtection algorithmName="SHA-512" hashValue="zljxAn2WQzijubXl3tVEwYk3uLpB7pUFOtyOb5K5amkTCjS7QMACxcID6vU+/K9ehO/USCignp8C8NTh/2Ha6A==" saltValue="pl/esfcotdOu0T4ktMuu1g==" spinCount="100000" sheet="1" objects="1" scenarios="1"/>
  <dataValidations count="4">
    <dataValidation type="whole" allowBlank="1" showInputMessage="1" showErrorMessage="1" sqref="D5:D1000" xr:uid="{9455A17E-9905-4C14-B028-993E68A4315A}">
      <formula1>1</formula1>
      <formula2>53</formula2>
    </dataValidation>
    <dataValidation type="whole" allowBlank="1" showInputMessage="1" showErrorMessage="1" sqref="E5:E1000" xr:uid="{4D1EE5B2-7F58-4E54-866B-D12F88B0DB08}">
      <formula1>1900</formula1>
      <formula2>2100</formula2>
    </dataValidation>
    <dataValidation type="date" allowBlank="1" showInputMessage="1" showErrorMessage="1" sqref="C5:D1000" xr:uid="{9DDAD7F6-1F5A-486A-93BD-FC1B9ABA38E9}">
      <formula1>43831</formula1>
      <formula2>49310</formula2>
    </dataValidation>
    <dataValidation type="decimal" allowBlank="1" showInputMessage="1" showErrorMessage="1" sqref="H5:H1000" xr:uid="{B56E3E7C-A02A-4A3E-86DB-93514ED737BA}">
      <formula1>0</formula1>
      <formula2>1000</formula2>
    </dataValidation>
  </dataValidations>
  <pageMargins left="0.7" right="0.7" top="0.75" bottom="0.75" header="0.3" footer="0.3"/>
  <pageSetup orientation="portrait" r:id="rId1"/>
  <drawing r:id="rId2"/>
  <tableParts count="1">
    <tablePart r:id="rId3"/>
  </tableParts>
  <extLst>
    <ext xmlns:x14="http://schemas.microsoft.com/office/spreadsheetml/2009/9/main" uri="{CCE6A557-97BC-4b89-ADB6-D9C93CAAB3DF}">
      <x14:dataValidations xmlns:xm="http://schemas.microsoft.com/office/excel/2006/main" count="2">
        <x14:dataValidation type="list" allowBlank="1" showInputMessage="1" showErrorMessage="1" xr:uid="{CA782DDB-4D9F-45F2-ABB6-D8DB01068F65}">
          <x14:formula1>
            <xm:f>'Dropdown tables - Production'!$W$2:$W$6</xm:f>
          </x14:formula1>
          <xm:sqref>G5:G1000</xm:sqref>
        </x14:dataValidation>
        <x14:dataValidation type="list" allowBlank="1" showInputMessage="1" showErrorMessage="1" xr:uid="{2988D7A2-5BEA-4F87-B03A-73D1D7F5E77F}">
          <x14:formula1>
            <xm:f>'Dropdown tables - Production'!$X$2:$X$5</xm:f>
          </x14:formula1>
          <xm:sqref>F5:F1000</xm:sqref>
        </x14:dataValidation>
      </x14:dataValidations>
    </ext>
  </extLst>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24EAE3-2395-4CF0-8CC6-2196936D6237}">
  <sheetPr codeName="Sheet33">
    <tabColor theme="9" tint="0.59999389629810485"/>
  </sheetPr>
  <dimension ref="A1:AB1602"/>
  <sheetViews>
    <sheetView topLeftCell="U1" zoomScaleNormal="100" workbookViewId="0">
      <selection activeCell="A48" sqref="A48:D77"/>
    </sheetView>
  </sheetViews>
  <sheetFormatPr defaultRowHeight="14.4" x14ac:dyDescent="0.3"/>
  <cols>
    <col min="1" max="1" width="9.109375" bestFit="1" customWidth="1"/>
    <col min="2" max="2" width="9.77734375" bestFit="1" customWidth="1"/>
    <col min="3" max="3" width="18.77734375" bestFit="1" customWidth="1"/>
    <col min="4" max="4" width="7.33203125" bestFit="1" customWidth="1"/>
    <col min="5" max="6" width="20" customWidth="1"/>
    <col min="7" max="7" width="25.77734375" bestFit="1" customWidth="1"/>
    <col min="8" max="13" width="25.77734375" customWidth="1"/>
    <col min="15" max="15" width="21" customWidth="1"/>
    <col min="16" max="16" width="12" customWidth="1"/>
    <col min="17" max="17" width="20.5546875" customWidth="1"/>
    <col min="18" max="18" width="16.5546875" bestFit="1" customWidth="1"/>
    <col min="19" max="19" width="16.5546875" customWidth="1"/>
    <col min="20" max="20" width="37.5546875" bestFit="1" customWidth="1"/>
    <col min="21" max="21" width="25.5546875" bestFit="1" customWidth="1"/>
    <col min="22" max="22" width="24.77734375" bestFit="1" customWidth="1"/>
    <col min="23" max="23" width="12.44140625" customWidth="1"/>
    <col min="24" max="24" width="33" bestFit="1" customWidth="1"/>
    <col min="25" max="26" width="37.77734375" customWidth="1"/>
  </cols>
  <sheetData>
    <row r="1" spans="1:28" x14ac:dyDescent="0.3">
      <c r="A1" s="5" t="s">
        <v>44</v>
      </c>
      <c r="B1" s="5" t="s">
        <v>45</v>
      </c>
      <c r="C1" s="5" t="s">
        <v>72</v>
      </c>
      <c r="D1" s="5" t="s">
        <v>47</v>
      </c>
      <c r="E1" s="336" t="s">
        <v>245</v>
      </c>
      <c r="F1" s="336" t="s">
        <v>246</v>
      </c>
      <c r="G1" s="336" t="s">
        <v>247</v>
      </c>
      <c r="H1" s="337" t="s">
        <v>248</v>
      </c>
      <c r="I1" s="337" t="s">
        <v>249</v>
      </c>
      <c r="J1" s="337" t="s">
        <v>250</v>
      </c>
      <c r="K1" s="335" t="s">
        <v>248</v>
      </c>
      <c r="L1" s="335" t="s">
        <v>249</v>
      </c>
      <c r="M1" s="335" t="s">
        <v>250</v>
      </c>
      <c r="N1" s="5" t="s">
        <v>251</v>
      </c>
      <c r="O1" s="5" t="s">
        <v>252</v>
      </c>
      <c r="P1" s="5" t="s">
        <v>253</v>
      </c>
      <c r="Q1" s="5" t="s">
        <v>254</v>
      </c>
      <c r="R1" s="5" t="s">
        <v>255</v>
      </c>
      <c r="S1" s="5" t="s">
        <v>256</v>
      </c>
      <c r="T1" s="7" t="s">
        <v>257</v>
      </c>
      <c r="U1" s="5" t="s">
        <v>258</v>
      </c>
      <c r="V1" s="5"/>
      <c r="W1" s="242" t="s">
        <v>259</v>
      </c>
      <c r="X1" s="5" t="s">
        <v>260</v>
      </c>
      <c r="Y1" s="5" t="s">
        <v>261</v>
      </c>
      <c r="Z1" s="5" t="s">
        <v>262</v>
      </c>
      <c r="AA1" s="5" t="s">
        <v>263</v>
      </c>
      <c r="AB1" s="5" t="s">
        <v>264</v>
      </c>
    </row>
    <row r="2" spans="1:28" x14ac:dyDescent="0.3">
      <c r="A2" s="1"/>
      <c r="B2" s="1"/>
      <c r="C2" s="1"/>
      <c r="D2" s="1"/>
      <c r="E2" s="1"/>
      <c r="F2" s="1"/>
      <c r="G2" s="1"/>
      <c r="H2" s="1"/>
      <c r="I2" s="1"/>
      <c r="J2" s="1"/>
      <c r="K2" s="1"/>
      <c r="L2" s="1"/>
      <c r="M2" s="1"/>
      <c r="N2" s="10"/>
      <c r="O2" s="1"/>
      <c r="P2" s="3"/>
      <c r="R2" s="1"/>
      <c r="T2" s="6" t="s">
        <v>265</v>
      </c>
      <c r="U2" s="1" t="s">
        <v>266</v>
      </c>
      <c r="V2" s="1"/>
      <c r="W2" s="3"/>
      <c r="X2" s="1"/>
      <c r="Y2" s="8" t="s">
        <v>93</v>
      </c>
      <c r="Z2" s="8" t="s">
        <v>93</v>
      </c>
      <c r="AA2" s="1"/>
      <c r="AB2" s="1"/>
    </row>
    <row r="3" spans="1:28" x14ac:dyDescent="0.3">
      <c r="A3" s="11">
        <f>'Site and production details'!C5</f>
        <v>0</v>
      </c>
      <c r="B3" s="11">
        <f>'Site and production details'!D5</f>
        <v>0</v>
      </c>
      <c r="C3" s="11">
        <f>'Site and production details'!E5</f>
        <v>0</v>
      </c>
      <c r="D3" s="11">
        <f>'Site and production details'!F5</f>
        <v>0</v>
      </c>
      <c r="E3" s="11" cm="1">
        <f t="array" ref="E3:G4">_xlfn.UNIQUE(A3:C77)</f>
        <v>0</v>
      </c>
      <c r="F3" s="11">
        <v>0</v>
      </c>
      <c r="G3" s="1">
        <v>0</v>
      </c>
      <c r="H3" s="1" t="str" cm="1">
        <f t="array" ref="H3:J112">IF(Table4[Type of treatment (select)]= "Antiparasitic - Sea lice", (CHOOSE({1,2,3},Table4[Species in production (Latin name) (select)],Table4[Cycle ID
(select)], Table4[Active component name])), "")</f>
        <v/>
      </c>
      <c r="I3" s="1" t="str">
        <v/>
      </c>
      <c r="J3" s="1" t="str">
        <v/>
      </c>
      <c r="K3" s="1" t="str" cm="1">
        <f t="array" ref="K3">IFERROR(_xlfn._xlws.FILTER(_xlfn.VSTACK(H3:J77), _xlfn.VSTACK(H3:H77)&lt;&gt;""), "")</f>
        <v/>
      </c>
      <c r="L3" s="1"/>
      <c r="M3" s="1"/>
      <c r="N3" s="10" t="s">
        <v>267</v>
      </c>
      <c r="O3" s="1" t="s">
        <v>268</v>
      </c>
      <c r="P3" s="100" t="s">
        <v>269</v>
      </c>
      <c r="Q3" s="1" t="s">
        <v>270</v>
      </c>
      <c r="R3" s="12" t="s">
        <v>271</v>
      </c>
      <c r="S3" s="12" t="s">
        <v>272</v>
      </c>
      <c r="T3" s="6" t="s">
        <v>273</v>
      </c>
      <c r="U3" s="1" t="s">
        <v>274</v>
      </c>
      <c r="V3" s="1"/>
      <c r="W3" s="3" t="s">
        <v>275</v>
      </c>
      <c r="X3" s="1" t="s">
        <v>276</v>
      </c>
      <c r="Y3" s="1" t="s">
        <v>113</v>
      </c>
      <c r="Z3" s="1" t="s">
        <v>140</v>
      </c>
      <c r="AA3" s="1" t="s">
        <v>277</v>
      </c>
      <c r="AB3" s="1" t="s">
        <v>278</v>
      </c>
    </row>
    <row r="4" spans="1:28" x14ac:dyDescent="0.3">
      <c r="A4" s="11">
        <f>'Site and production details'!C6</f>
        <v>0</v>
      </c>
      <c r="B4" s="11" t="str">
        <f>'Site and production details'!D6</f>
        <v/>
      </c>
      <c r="C4" s="11">
        <f>'Site and production details'!E6</f>
        <v>0</v>
      </c>
      <c r="D4" s="11">
        <f>'Site and production details'!F6</f>
        <v>0</v>
      </c>
      <c r="E4" s="11">
        <v>0</v>
      </c>
      <c r="F4" s="11" t="str">
        <v/>
      </c>
      <c r="G4" s="1">
        <v>0</v>
      </c>
      <c r="H4" s="1" t="str">
        <v/>
      </c>
      <c r="I4" s="1" t="str">
        <v/>
      </c>
      <c r="J4" s="1" t="str">
        <v/>
      </c>
      <c r="K4" s="1"/>
      <c r="L4" s="1"/>
      <c r="M4" s="1"/>
      <c r="N4" s="10" t="s">
        <v>279</v>
      </c>
      <c r="O4" s="1" t="s">
        <v>280</v>
      </c>
      <c r="P4" s="100" t="s">
        <v>281</v>
      </c>
      <c r="Q4" s="1" t="s">
        <v>282</v>
      </c>
      <c r="R4" s="12" t="s">
        <v>283</v>
      </c>
      <c r="S4" s="12" t="s">
        <v>284</v>
      </c>
      <c r="T4" s="6" t="s">
        <v>285</v>
      </c>
      <c r="U4" s="1" t="s">
        <v>57</v>
      </c>
      <c r="V4" s="1"/>
      <c r="W4" s="3" t="s">
        <v>286</v>
      </c>
      <c r="X4" s="1" t="s">
        <v>287</v>
      </c>
      <c r="Y4" t="s">
        <v>114</v>
      </c>
      <c r="Z4" s="1" t="s">
        <v>142</v>
      </c>
      <c r="AA4" s="1" t="s">
        <v>288</v>
      </c>
      <c r="AB4" s="1" t="s">
        <v>289</v>
      </c>
    </row>
    <row r="5" spans="1:28" x14ac:dyDescent="0.3">
      <c r="A5" s="11">
        <f>'Site and production details'!C7</f>
        <v>0</v>
      </c>
      <c r="B5" s="11" t="str">
        <f>'Site and production details'!D7</f>
        <v/>
      </c>
      <c r="C5" s="11">
        <f>'Site and production details'!E7</f>
        <v>0</v>
      </c>
      <c r="D5" s="11">
        <f>'Site and production details'!F7</f>
        <v>0</v>
      </c>
      <c r="E5" s="11"/>
      <c r="F5" s="11"/>
      <c r="G5" s="1"/>
      <c r="H5" s="1" t="str">
        <v/>
      </c>
      <c r="I5" s="1" t="str">
        <v/>
      </c>
      <c r="J5" s="1" t="str">
        <v/>
      </c>
      <c r="K5" s="1"/>
      <c r="L5" s="1"/>
      <c r="M5" s="1"/>
      <c r="O5" s="1" t="s">
        <v>290</v>
      </c>
      <c r="P5" s="100" t="s">
        <v>291</v>
      </c>
      <c r="Q5" s="1" t="s">
        <v>292</v>
      </c>
      <c r="R5" s="12" t="s">
        <v>293</v>
      </c>
      <c r="S5" s="12"/>
      <c r="T5" s="6" t="s">
        <v>294</v>
      </c>
      <c r="U5" s="1" t="s">
        <v>295</v>
      </c>
      <c r="V5" s="1"/>
      <c r="W5" s="4" t="s">
        <v>296</v>
      </c>
      <c r="X5" s="1" t="s">
        <v>297</v>
      </c>
      <c r="Y5" s="1" t="s">
        <v>97</v>
      </c>
      <c r="Z5" s="1" t="s">
        <v>143</v>
      </c>
      <c r="AA5" s="1" t="s">
        <v>298</v>
      </c>
      <c r="AB5" s="1" t="s">
        <v>299</v>
      </c>
    </row>
    <row r="6" spans="1:28" x14ac:dyDescent="0.3">
      <c r="A6" s="11">
        <f>'Site and production details'!C8</f>
        <v>0</v>
      </c>
      <c r="B6" s="11" t="str">
        <f>'Site and production details'!D8</f>
        <v/>
      </c>
      <c r="C6" s="11">
        <f>'Site and production details'!E8</f>
        <v>0</v>
      </c>
      <c r="D6" s="11">
        <f>'Site and production details'!F8</f>
        <v>0</v>
      </c>
      <c r="E6" s="11"/>
      <c r="F6" s="11"/>
      <c r="G6" s="1"/>
      <c r="H6" s="1" t="str">
        <v/>
      </c>
      <c r="I6" s="1" t="str">
        <v/>
      </c>
      <c r="J6" s="1" t="str">
        <v/>
      </c>
      <c r="K6" s="1"/>
      <c r="L6" s="1"/>
      <c r="M6" s="1"/>
      <c r="O6" s="1" t="s">
        <v>300</v>
      </c>
      <c r="P6" s="100" t="s">
        <v>301</v>
      </c>
      <c r="Q6" s="1" t="s">
        <v>302</v>
      </c>
      <c r="R6" s="9" t="s">
        <v>303</v>
      </c>
      <c r="S6" s="9"/>
      <c r="T6" s="6" t="s">
        <v>304</v>
      </c>
      <c r="U6" s="1" t="s">
        <v>305</v>
      </c>
      <c r="V6" s="1"/>
      <c r="W6" s="3" t="s">
        <v>306</v>
      </c>
      <c r="Y6" s="1"/>
      <c r="Z6" s="1" t="s">
        <v>144</v>
      </c>
      <c r="AA6" s="1" t="s">
        <v>307</v>
      </c>
      <c r="AB6" s="1" t="s">
        <v>308</v>
      </c>
    </row>
    <row r="7" spans="1:28" x14ac:dyDescent="0.3">
      <c r="A7" s="11">
        <f>'Site and production details'!C9</f>
        <v>0</v>
      </c>
      <c r="B7" s="11" t="str">
        <f>'Site and production details'!D9</f>
        <v/>
      </c>
      <c r="C7" s="11">
        <f>'Site and production details'!E9</f>
        <v>0</v>
      </c>
      <c r="D7" s="11">
        <f>'Site and production details'!F9</f>
        <v>0</v>
      </c>
      <c r="E7" s="11"/>
      <c r="F7" s="11"/>
      <c r="G7" s="1"/>
      <c r="H7" s="1" t="str">
        <v/>
      </c>
      <c r="I7" s="1" t="str">
        <v/>
      </c>
      <c r="J7" s="1" t="str">
        <v/>
      </c>
      <c r="K7" s="1"/>
      <c r="L7" s="1"/>
      <c r="M7" s="1"/>
      <c r="O7" s="1" t="s">
        <v>309</v>
      </c>
      <c r="P7" s="100" t="s">
        <v>310</v>
      </c>
      <c r="Q7" s="9" t="s">
        <v>311</v>
      </c>
      <c r="R7" s="9"/>
      <c r="S7" s="9"/>
      <c r="T7" s="6" t="s">
        <v>312</v>
      </c>
      <c r="U7" s="1" t="s">
        <v>313</v>
      </c>
      <c r="V7" s="1"/>
      <c r="Y7" s="1"/>
      <c r="Z7" s="1" t="s">
        <v>145</v>
      </c>
    </row>
    <row r="8" spans="1:28" x14ac:dyDescent="0.3">
      <c r="A8" s="11">
        <f>'Site and production details'!C10</f>
        <v>0</v>
      </c>
      <c r="B8" s="11" t="str">
        <f>'Site and production details'!D10</f>
        <v/>
      </c>
      <c r="C8" s="11">
        <f>'Site and production details'!E10</f>
        <v>0</v>
      </c>
      <c r="D8" s="11">
        <f>'Site and production details'!F10</f>
        <v>0</v>
      </c>
      <c r="E8" s="11"/>
      <c r="F8" s="11"/>
      <c r="G8" s="1"/>
      <c r="H8" s="1" t="str">
        <v/>
      </c>
      <c r="I8" s="1" t="str">
        <v/>
      </c>
      <c r="J8" s="1" t="str">
        <v/>
      </c>
      <c r="K8" s="1"/>
      <c r="L8" s="1"/>
      <c r="M8" s="1"/>
      <c r="O8" s="1" t="s">
        <v>314</v>
      </c>
      <c r="P8" s="1" t="s">
        <v>315</v>
      </c>
      <c r="Q8" s="9"/>
      <c r="R8" s="1"/>
      <c r="S8" s="1"/>
      <c r="T8" s="6" t="s">
        <v>316</v>
      </c>
      <c r="U8" s="1" t="s">
        <v>317</v>
      </c>
      <c r="V8" s="1"/>
      <c r="Y8" s="1"/>
      <c r="Z8" s="1" t="s">
        <v>146</v>
      </c>
    </row>
    <row r="9" spans="1:28" x14ac:dyDescent="0.3">
      <c r="A9" s="11">
        <f>'Site and production details'!C11</f>
        <v>0</v>
      </c>
      <c r="B9" s="11" t="str">
        <f>'Site and production details'!D11</f>
        <v/>
      </c>
      <c r="C9" s="11">
        <f>'Site and production details'!E11</f>
        <v>0</v>
      </c>
      <c r="D9" s="11">
        <f>'Site and production details'!F11</f>
        <v>0</v>
      </c>
      <c r="E9" s="11"/>
      <c r="F9" s="11"/>
      <c r="G9" s="1"/>
      <c r="H9" s="1" t="str">
        <v/>
      </c>
      <c r="I9" s="1" t="str">
        <v/>
      </c>
      <c r="J9" s="1" t="str">
        <v/>
      </c>
      <c r="K9" s="1"/>
      <c r="L9" s="1"/>
      <c r="M9" s="1"/>
      <c r="O9" s="1" t="s">
        <v>318</v>
      </c>
      <c r="Q9" s="1"/>
      <c r="T9" s="6" t="s">
        <v>319</v>
      </c>
      <c r="U9" s="1" t="s">
        <v>320</v>
      </c>
      <c r="V9" s="1"/>
      <c r="Y9" s="1"/>
      <c r="Z9" s="1" t="s">
        <v>147</v>
      </c>
    </row>
    <row r="10" spans="1:28" x14ac:dyDescent="0.3">
      <c r="A10" s="11">
        <f>'Site and production details'!C12</f>
        <v>0</v>
      </c>
      <c r="B10" s="11" t="str">
        <f>'Site and production details'!D12</f>
        <v/>
      </c>
      <c r="C10" s="11">
        <f>'Site and production details'!E12</f>
        <v>0</v>
      </c>
      <c r="D10" s="11">
        <f>'Site and production details'!F12</f>
        <v>0</v>
      </c>
      <c r="E10" s="11"/>
      <c r="F10" s="11"/>
      <c r="G10" s="1"/>
      <c r="H10" s="1" t="str">
        <v/>
      </c>
      <c r="I10" s="1" t="str">
        <v/>
      </c>
      <c r="J10" s="1" t="str">
        <v/>
      </c>
      <c r="K10" s="1"/>
      <c r="L10" s="1"/>
      <c r="M10" s="1"/>
      <c r="O10" s="1" t="s">
        <v>321</v>
      </c>
      <c r="Q10" s="1"/>
      <c r="U10" s="1" t="s">
        <v>322</v>
      </c>
      <c r="V10" s="1"/>
      <c r="Y10" s="1"/>
      <c r="Z10" s="1" t="s">
        <v>148</v>
      </c>
    </row>
    <row r="11" spans="1:28" x14ac:dyDescent="0.3">
      <c r="A11" s="11">
        <f>'Site and production details'!C13</f>
        <v>0</v>
      </c>
      <c r="B11" s="11" t="str">
        <f>'Site and production details'!D13</f>
        <v/>
      </c>
      <c r="C11" s="11">
        <f>'Site and production details'!E13</f>
        <v>0</v>
      </c>
      <c r="D11" s="11">
        <f>'Site and production details'!F13</f>
        <v>0</v>
      </c>
      <c r="E11" s="11"/>
      <c r="F11" s="11"/>
      <c r="G11" s="1"/>
      <c r="H11" s="1" t="str">
        <v/>
      </c>
      <c r="I11" s="1" t="str">
        <v/>
      </c>
      <c r="J11" s="6" t="str">
        <v/>
      </c>
      <c r="K11" s="1"/>
      <c r="L11" s="1"/>
      <c r="M11" s="1"/>
      <c r="O11" s="1" t="s">
        <v>323</v>
      </c>
      <c r="U11" s="1" t="s">
        <v>324</v>
      </c>
      <c r="V11" s="1"/>
      <c r="Y11" s="1"/>
      <c r="Z11" s="1" t="s">
        <v>149</v>
      </c>
    </row>
    <row r="12" spans="1:28" x14ac:dyDescent="0.3">
      <c r="A12" s="11">
        <f>'Site and production details'!C14</f>
        <v>0</v>
      </c>
      <c r="B12" s="11" t="str">
        <f>'Site and production details'!D14</f>
        <v/>
      </c>
      <c r="C12" s="11">
        <f>'Site and production details'!E14</f>
        <v>0</v>
      </c>
      <c r="D12" s="11">
        <f>'Site and production details'!F14</f>
        <v>0</v>
      </c>
      <c r="E12" s="11"/>
      <c r="F12" s="11"/>
      <c r="G12" s="1"/>
      <c r="H12" s="1" t="str">
        <v/>
      </c>
      <c r="I12" s="1" t="str">
        <v/>
      </c>
      <c r="J12" s="6" t="str">
        <v/>
      </c>
      <c r="K12" s="1"/>
      <c r="L12" s="1"/>
      <c r="M12" s="1"/>
      <c r="O12" s="1" t="s">
        <v>325</v>
      </c>
      <c r="U12" s="1" t="s">
        <v>326</v>
      </c>
      <c r="V12" s="1"/>
      <c r="Y12" s="1"/>
      <c r="Z12" s="1" t="s">
        <v>150</v>
      </c>
    </row>
    <row r="13" spans="1:28" x14ac:dyDescent="0.3">
      <c r="A13" s="11">
        <f>'Site and production details'!C15</f>
        <v>0</v>
      </c>
      <c r="B13" s="11" t="str">
        <f>'Site and production details'!D15</f>
        <v/>
      </c>
      <c r="C13" s="11">
        <f>'Site and production details'!E15</f>
        <v>0</v>
      </c>
      <c r="D13" s="11">
        <f>'Site and production details'!F15</f>
        <v>0</v>
      </c>
      <c r="E13" s="11"/>
      <c r="F13" s="11"/>
      <c r="G13" s="1"/>
      <c r="H13" s="1" t="str">
        <v/>
      </c>
      <c r="I13" s="1" t="str">
        <v/>
      </c>
      <c r="J13" s="6" t="str">
        <v/>
      </c>
      <c r="K13" s="1"/>
      <c r="L13" s="1"/>
      <c r="M13" s="1"/>
      <c r="O13" s="1" t="s">
        <v>327</v>
      </c>
      <c r="U13" s="1" t="s">
        <v>328</v>
      </c>
      <c r="V13" s="1"/>
      <c r="Y13" s="1"/>
      <c r="Z13" s="1" t="s">
        <v>151</v>
      </c>
    </row>
    <row r="14" spans="1:28" x14ac:dyDescent="0.3">
      <c r="A14" s="11">
        <f>'Site and production details'!C16</f>
        <v>0</v>
      </c>
      <c r="B14" s="11" t="str">
        <f>'Site and production details'!D16</f>
        <v/>
      </c>
      <c r="C14" s="11">
        <f>'Site and production details'!E16</f>
        <v>0</v>
      </c>
      <c r="D14" s="11">
        <f>'Site and production details'!F16</f>
        <v>0</v>
      </c>
      <c r="E14" s="11"/>
      <c r="F14" s="11"/>
      <c r="G14" s="1"/>
      <c r="H14" s="1" t="str">
        <v/>
      </c>
      <c r="I14" s="1" t="str">
        <v/>
      </c>
      <c r="J14" s="6" t="str">
        <v/>
      </c>
      <c r="K14" s="1"/>
      <c r="L14" s="1"/>
      <c r="M14" s="1"/>
      <c r="U14" s="1" t="s">
        <v>329</v>
      </c>
      <c r="V14" s="1"/>
      <c r="Y14" s="1"/>
      <c r="Z14" s="1" t="s">
        <v>153</v>
      </c>
    </row>
    <row r="15" spans="1:28" x14ac:dyDescent="0.3">
      <c r="A15" s="11">
        <f>'Site and production details'!C17</f>
        <v>0</v>
      </c>
      <c r="B15" s="11" t="str">
        <f>'Site and production details'!D17</f>
        <v/>
      </c>
      <c r="C15" s="11">
        <f>'Site and production details'!E17</f>
        <v>0</v>
      </c>
      <c r="D15" s="11">
        <f>'Site and production details'!F17</f>
        <v>0</v>
      </c>
      <c r="E15" s="11"/>
      <c r="F15" s="11"/>
      <c r="G15" s="1"/>
      <c r="H15" s="1" t="str">
        <v/>
      </c>
      <c r="I15" s="1" t="str">
        <v/>
      </c>
      <c r="J15" s="6" t="str">
        <v/>
      </c>
      <c r="K15" s="1"/>
      <c r="L15" s="1"/>
      <c r="M15" s="1"/>
      <c r="U15" s="1" t="s">
        <v>330</v>
      </c>
      <c r="V15" s="1"/>
      <c r="Y15" s="1"/>
      <c r="Z15" s="1" t="s">
        <v>154</v>
      </c>
    </row>
    <row r="16" spans="1:28" x14ac:dyDescent="0.3">
      <c r="A16" s="11">
        <f>'Site and production details'!C18</f>
        <v>0</v>
      </c>
      <c r="B16" s="11" t="str">
        <f>'Site and production details'!D18</f>
        <v/>
      </c>
      <c r="C16" s="11">
        <f>'Site and production details'!E18</f>
        <v>0</v>
      </c>
      <c r="D16" s="11">
        <f>'Site and production details'!F18</f>
        <v>0</v>
      </c>
      <c r="E16" s="11"/>
      <c r="F16" s="11"/>
      <c r="G16" s="1"/>
      <c r="H16" s="1" t="str">
        <v/>
      </c>
      <c r="I16" s="1" t="str">
        <v/>
      </c>
      <c r="J16" s="6" t="str">
        <v/>
      </c>
      <c r="K16" s="1"/>
      <c r="L16" s="1"/>
      <c r="M16" s="1"/>
      <c r="U16" s="1" t="s">
        <v>331</v>
      </c>
      <c r="V16" s="1"/>
      <c r="Y16" s="1"/>
      <c r="Z16" s="1" t="s">
        <v>155</v>
      </c>
    </row>
    <row r="17" spans="1:25" x14ac:dyDescent="0.3">
      <c r="A17" s="11">
        <f>'Site and production details'!C19</f>
        <v>0</v>
      </c>
      <c r="B17" s="11" t="str">
        <f>'Site and production details'!D19</f>
        <v/>
      </c>
      <c r="C17" s="11">
        <f>'Site and production details'!E19</f>
        <v>0</v>
      </c>
      <c r="D17" s="11">
        <f>'Site and production details'!F19</f>
        <v>0</v>
      </c>
      <c r="E17" s="11"/>
      <c r="F17" s="11"/>
      <c r="G17" s="1"/>
      <c r="H17" s="1" t="str">
        <v/>
      </c>
      <c r="I17" s="1" t="str">
        <v/>
      </c>
      <c r="J17" s="6" t="str">
        <v/>
      </c>
      <c r="K17" s="1"/>
      <c r="L17" s="1"/>
      <c r="M17" s="1"/>
      <c r="U17" s="1" t="s">
        <v>332</v>
      </c>
      <c r="V17" s="1"/>
      <c r="Y17" s="1"/>
    </row>
    <row r="18" spans="1:25" x14ac:dyDescent="0.3">
      <c r="A18" s="11">
        <f>'Site and production details'!C20</f>
        <v>0</v>
      </c>
      <c r="B18" s="11" t="str">
        <f>'Site and production details'!D20</f>
        <v/>
      </c>
      <c r="C18" s="11">
        <f>'Site and production details'!E20</f>
        <v>0</v>
      </c>
      <c r="D18" s="11">
        <f>'Site and production details'!F20</f>
        <v>0</v>
      </c>
      <c r="E18" s="11"/>
      <c r="F18" s="11"/>
      <c r="G18" s="1"/>
      <c r="H18" s="1" t="str">
        <v/>
      </c>
      <c r="I18" s="1" t="str">
        <v/>
      </c>
      <c r="J18" s="6" t="str">
        <v/>
      </c>
      <c r="K18" s="1"/>
      <c r="L18" s="1"/>
      <c r="M18" s="1"/>
      <c r="U18" s="1" t="s">
        <v>333</v>
      </c>
      <c r="V18" s="1"/>
      <c r="Y18" s="1"/>
    </row>
    <row r="19" spans="1:25" x14ac:dyDescent="0.3">
      <c r="A19" s="11">
        <f>'Site and production details'!C21</f>
        <v>0</v>
      </c>
      <c r="B19" s="11" t="str">
        <f>'Site and production details'!D21</f>
        <v/>
      </c>
      <c r="C19" s="11">
        <f>'Site and production details'!E21</f>
        <v>0</v>
      </c>
      <c r="D19" s="11">
        <f>'Site and production details'!F21</f>
        <v>0</v>
      </c>
      <c r="E19" s="11"/>
      <c r="F19" s="11"/>
      <c r="G19" s="1"/>
      <c r="H19" s="1" t="str">
        <v/>
      </c>
      <c r="I19" s="1" t="str">
        <v/>
      </c>
      <c r="J19" s="6" t="str">
        <v/>
      </c>
      <c r="K19" s="1"/>
      <c r="L19" s="1"/>
      <c r="M19" s="1"/>
      <c r="P19" s="2"/>
      <c r="U19" s="1" t="s">
        <v>334</v>
      </c>
      <c r="V19" s="1"/>
    </row>
    <row r="20" spans="1:25" x14ac:dyDescent="0.3">
      <c r="A20" s="11">
        <f>'Site and production details'!C22</f>
        <v>0</v>
      </c>
      <c r="B20" s="11" t="str">
        <f>'Site and production details'!D22</f>
        <v/>
      </c>
      <c r="C20" s="11">
        <f>'Site and production details'!E22</f>
        <v>0</v>
      </c>
      <c r="D20" s="11">
        <f>'Site and production details'!F22</f>
        <v>0</v>
      </c>
      <c r="E20" s="11"/>
      <c r="F20" s="11"/>
      <c r="G20" s="1"/>
      <c r="H20" s="1" t="str">
        <v/>
      </c>
      <c r="I20" s="1" t="str">
        <v/>
      </c>
      <c r="J20" s="6" t="str">
        <v/>
      </c>
      <c r="K20" s="1"/>
      <c r="L20" s="1"/>
      <c r="M20" s="1"/>
      <c r="U20" s="1" t="s">
        <v>335</v>
      </c>
      <c r="V20" s="1"/>
    </row>
    <row r="21" spans="1:25" x14ac:dyDescent="0.3">
      <c r="A21" s="11">
        <f>'Site and production details'!C23</f>
        <v>0</v>
      </c>
      <c r="B21" s="11" t="str">
        <f>'Site and production details'!D23</f>
        <v/>
      </c>
      <c r="C21" s="11">
        <f>'Site and production details'!E23</f>
        <v>0</v>
      </c>
      <c r="D21" s="11">
        <f>'Site and production details'!F23</f>
        <v>0</v>
      </c>
      <c r="E21" s="11"/>
      <c r="F21" s="11"/>
      <c r="G21" s="1"/>
      <c r="H21" s="1" t="str">
        <v/>
      </c>
      <c r="I21" s="1" t="str">
        <v/>
      </c>
      <c r="J21" s="6" t="str">
        <v/>
      </c>
      <c r="K21" s="1"/>
      <c r="L21" s="1"/>
      <c r="M21" s="1"/>
      <c r="U21" s="1" t="s">
        <v>336</v>
      </c>
      <c r="V21" s="1"/>
    </row>
    <row r="22" spans="1:25" x14ac:dyDescent="0.3">
      <c r="A22" s="11">
        <f>'Site and production details'!C24</f>
        <v>0</v>
      </c>
      <c r="B22" s="11" t="str">
        <f>'Site and production details'!D24</f>
        <v/>
      </c>
      <c r="C22" s="11">
        <f>'Site and production details'!E24</f>
        <v>0</v>
      </c>
      <c r="D22" s="11">
        <f>'Site and production details'!F24</f>
        <v>0</v>
      </c>
      <c r="E22" s="11"/>
      <c r="F22" s="11"/>
      <c r="G22" s="1"/>
      <c r="H22" s="1" t="str">
        <v/>
      </c>
      <c r="I22" s="1" t="str">
        <v/>
      </c>
      <c r="J22" s="6" t="str">
        <v/>
      </c>
      <c r="K22" s="1"/>
      <c r="L22" s="1"/>
      <c r="M22" s="1"/>
      <c r="U22" s="1" t="s">
        <v>337</v>
      </c>
      <c r="V22" s="1"/>
    </row>
    <row r="23" spans="1:25" x14ac:dyDescent="0.3">
      <c r="A23" s="11">
        <f>'Site and production details'!C25</f>
        <v>0</v>
      </c>
      <c r="B23" s="11" t="str">
        <f>'Site and production details'!D25</f>
        <v/>
      </c>
      <c r="C23" s="11">
        <f>'Site and production details'!E25</f>
        <v>0</v>
      </c>
      <c r="D23" s="11">
        <f>'Site and production details'!F25</f>
        <v>0</v>
      </c>
      <c r="E23" s="11"/>
      <c r="F23" s="11"/>
      <c r="G23" s="1"/>
      <c r="H23" s="1" t="str">
        <v/>
      </c>
      <c r="I23" s="1" t="str">
        <v/>
      </c>
      <c r="J23" s="6" t="str">
        <v/>
      </c>
      <c r="K23" s="1"/>
      <c r="L23" s="1"/>
      <c r="M23" s="1"/>
      <c r="U23" s="1" t="s">
        <v>338</v>
      </c>
      <c r="V23" s="1"/>
    </row>
    <row r="24" spans="1:25" x14ac:dyDescent="0.3">
      <c r="A24" s="11">
        <f>'Site and production details'!C26</f>
        <v>0</v>
      </c>
      <c r="B24" s="11" t="str">
        <f>'Site and production details'!D26</f>
        <v/>
      </c>
      <c r="C24" s="11">
        <f>'Site and production details'!E26</f>
        <v>0</v>
      </c>
      <c r="D24" s="11">
        <f>'Site and production details'!F26</f>
        <v>0</v>
      </c>
      <c r="E24" s="11"/>
      <c r="F24" s="11"/>
      <c r="G24" s="1"/>
      <c r="H24" s="1" t="str">
        <v/>
      </c>
      <c r="I24" s="1" t="str">
        <v/>
      </c>
      <c r="J24" s="6" t="str">
        <v/>
      </c>
      <c r="K24" s="1"/>
      <c r="L24" s="1"/>
      <c r="M24" s="1"/>
      <c r="U24" s="1" t="s">
        <v>339</v>
      </c>
      <c r="V24" s="1"/>
    </row>
    <row r="25" spans="1:25" x14ac:dyDescent="0.3">
      <c r="A25" s="11">
        <f>'Site and production details'!C27</f>
        <v>0</v>
      </c>
      <c r="B25" s="11" t="str">
        <f>'Site and production details'!D27</f>
        <v/>
      </c>
      <c r="C25" s="11">
        <f>'Site and production details'!E27</f>
        <v>0</v>
      </c>
      <c r="D25" s="11">
        <f>'Site and production details'!F27</f>
        <v>0</v>
      </c>
      <c r="E25" s="11"/>
      <c r="F25" s="11"/>
      <c r="G25" s="1"/>
      <c r="H25" s="1" t="str">
        <v/>
      </c>
      <c r="I25" s="1" t="str">
        <v/>
      </c>
      <c r="J25" s="6" t="str">
        <v/>
      </c>
      <c r="K25" s="1"/>
      <c r="L25" s="1"/>
      <c r="M25" s="1"/>
      <c r="U25" s="1" t="s">
        <v>340</v>
      </c>
      <c r="V25" s="1"/>
    </row>
    <row r="26" spans="1:25" x14ac:dyDescent="0.3">
      <c r="A26" s="11">
        <f>'Site and production details'!C28</f>
        <v>0</v>
      </c>
      <c r="B26" s="11" t="str">
        <f>'Site and production details'!D28</f>
        <v/>
      </c>
      <c r="C26" s="11">
        <f>'Site and production details'!E28</f>
        <v>0</v>
      </c>
      <c r="D26" s="11">
        <f>'Site and production details'!F28</f>
        <v>0</v>
      </c>
      <c r="E26" s="11"/>
      <c r="F26" s="11"/>
      <c r="G26" s="1"/>
      <c r="H26" s="1" t="str">
        <v/>
      </c>
      <c r="I26" s="1" t="str">
        <v/>
      </c>
      <c r="J26" s="6" t="str">
        <v/>
      </c>
      <c r="K26" s="1"/>
      <c r="L26" s="1"/>
      <c r="M26" s="1"/>
      <c r="U26" s="1" t="s">
        <v>341</v>
      </c>
      <c r="V26" s="1"/>
    </row>
    <row r="27" spans="1:25" x14ac:dyDescent="0.3">
      <c r="A27" s="11">
        <f>'Site and production details'!C29</f>
        <v>0</v>
      </c>
      <c r="B27" s="11" t="str">
        <f>'Site and production details'!D29</f>
        <v/>
      </c>
      <c r="C27" s="11">
        <f>'Site and production details'!E29</f>
        <v>0</v>
      </c>
      <c r="D27" s="11">
        <f>'Site and production details'!F29</f>
        <v>0</v>
      </c>
      <c r="E27" s="11"/>
      <c r="F27" s="11"/>
      <c r="G27" s="1"/>
      <c r="H27" s="1" t="str">
        <v/>
      </c>
      <c r="I27" s="1" t="str">
        <v/>
      </c>
      <c r="J27" s="6" t="str">
        <v/>
      </c>
      <c r="K27" s="1"/>
      <c r="L27" s="1"/>
      <c r="M27" s="1"/>
      <c r="U27" s="1" t="s">
        <v>342</v>
      </c>
      <c r="V27" s="1"/>
    </row>
    <row r="28" spans="1:25" x14ac:dyDescent="0.3">
      <c r="A28" s="11">
        <f>'Site and production details'!C30</f>
        <v>0</v>
      </c>
      <c r="B28" s="11" t="str">
        <f>'Site and production details'!D30</f>
        <v/>
      </c>
      <c r="C28" s="11">
        <f>'Site and production details'!E30</f>
        <v>0</v>
      </c>
      <c r="D28" s="11">
        <f>'Site and production details'!F30</f>
        <v>0</v>
      </c>
      <c r="E28" s="11"/>
      <c r="F28" s="11"/>
      <c r="G28" s="1"/>
      <c r="H28" s="1" t="str">
        <v/>
      </c>
      <c r="I28" s="1" t="str">
        <v/>
      </c>
      <c r="J28" s="6" t="str">
        <v/>
      </c>
      <c r="K28" s="1"/>
      <c r="L28" s="1"/>
      <c r="M28" s="1"/>
      <c r="U28" s="1" t="s">
        <v>343</v>
      </c>
      <c r="V28" s="1"/>
    </row>
    <row r="29" spans="1:25" x14ac:dyDescent="0.3">
      <c r="A29" s="11">
        <f>'Site and production details'!C31</f>
        <v>0</v>
      </c>
      <c r="B29" s="11" t="str">
        <f>'Site and production details'!D31</f>
        <v/>
      </c>
      <c r="C29" s="11">
        <f>'Site and production details'!E31</f>
        <v>0</v>
      </c>
      <c r="D29" s="11">
        <f>'Site and production details'!F31</f>
        <v>0</v>
      </c>
      <c r="E29" s="11"/>
      <c r="F29" s="11"/>
      <c r="G29" s="1"/>
      <c r="H29" s="1" t="str">
        <v/>
      </c>
      <c r="I29" s="1" t="str">
        <v/>
      </c>
      <c r="J29" s="6" t="str">
        <v/>
      </c>
      <c r="K29" s="1"/>
      <c r="L29" s="1"/>
      <c r="M29" s="1"/>
      <c r="U29" s="1" t="s">
        <v>344</v>
      </c>
      <c r="V29" s="1"/>
    </row>
    <row r="30" spans="1:25" x14ac:dyDescent="0.3">
      <c r="A30" s="11">
        <f>'Site and production details'!C32</f>
        <v>0</v>
      </c>
      <c r="B30" s="11" t="str">
        <f>'Site and production details'!D32</f>
        <v/>
      </c>
      <c r="C30" s="11">
        <f>'Site and production details'!E32</f>
        <v>0</v>
      </c>
      <c r="D30" s="11">
        <f>'Site and production details'!F32</f>
        <v>0</v>
      </c>
      <c r="E30" s="11"/>
      <c r="F30" s="11"/>
      <c r="G30" s="1"/>
      <c r="H30" s="1" t="str">
        <v/>
      </c>
      <c r="I30" s="1" t="str">
        <v/>
      </c>
      <c r="J30" s="6" t="str">
        <v/>
      </c>
      <c r="K30" s="1"/>
      <c r="L30" s="1"/>
      <c r="M30" s="1"/>
      <c r="U30" s="1" t="s">
        <v>345</v>
      </c>
      <c r="V30" s="1"/>
    </row>
    <row r="31" spans="1:25" x14ac:dyDescent="0.3">
      <c r="A31" s="11">
        <f>'Site and production details'!C33</f>
        <v>0</v>
      </c>
      <c r="B31" s="11" t="str">
        <f>'Site and production details'!D33</f>
        <v/>
      </c>
      <c r="C31" s="11">
        <f>'Site and production details'!E33</f>
        <v>0</v>
      </c>
      <c r="D31" s="11">
        <f>'Site and production details'!F33</f>
        <v>0</v>
      </c>
      <c r="E31" s="11"/>
      <c r="F31" s="11"/>
      <c r="G31" s="1"/>
      <c r="H31" s="1" t="str">
        <v/>
      </c>
      <c r="I31" s="1" t="str">
        <v/>
      </c>
      <c r="J31" s="6" t="str">
        <v/>
      </c>
      <c r="K31" s="1"/>
      <c r="L31" s="1"/>
      <c r="M31" s="1"/>
      <c r="U31" s="1" t="s">
        <v>346</v>
      </c>
      <c r="V31" s="1"/>
    </row>
    <row r="32" spans="1:25" x14ac:dyDescent="0.3">
      <c r="A32" s="11">
        <f>'Site and production details'!C34</f>
        <v>0</v>
      </c>
      <c r="B32" s="11" t="str">
        <f>'Site and production details'!D34</f>
        <v/>
      </c>
      <c r="C32" s="11">
        <f>'Site and production details'!E34</f>
        <v>0</v>
      </c>
      <c r="D32" s="11">
        <f>'Site and production details'!F34</f>
        <v>0</v>
      </c>
      <c r="E32" s="11"/>
      <c r="F32" s="11"/>
      <c r="G32" s="1"/>
      <c r="H32" s="1" t="str">
        <v/>
      </c>
      <c r="I32" s="1" t="str">
        <v/>
      </c>
      <c r="J32" s="6" t="str">
        <v/>
      </c>
      <c r="K32" s="1"/>
      <c r="L32" s="1"/>
      <c r="M32" s="1"/>
      <c r="U32" s="1" t="s">
        <v>347</v>
      </c>
      <c r="V32" s="1"/>
    </row>
    <row r="33" spans="1:22" x14ac:dyDescent="0.3">
      <c r="A33" s="11">
        <f>'Site and production details'!C35</f>
        <v>0</v>
      </c>
      <c r="B33" s="11" t="str">
        <f>'Site and production details'!D35</f>
        <v/>
      </c>
      <c r="C33" s="11">
        <f>'Site and production details'!E35</f>
        <v>0</v>
      </c>
      <c r="D33" s="11">
        <f>'Site and production details'!F35</f>
        <v>0</v>
      </c>
      <c r="E33" s="11"/>
      <c r="F33" s="11"/>
      <c r="G33" s="1"/>
      <c r="H33" s="1" t="str">
        <v/>
      </c>
      <c r="I33" s="1" t="str">
        <v/>
      </c>
      <c r="J33" s="6" t="str">
        <v/>
      </c>
      <c r="K33" s="1"/>
      <c r="L33" s="1"/>
      <c r="M33" s="1"/>
      <c r="U33" s="1" t="s">
        <v>348</v>
      </c>
      <c r="V33" s="1"/>
    </row>
    <row r="34" spans="1:22" x14ac:dyDescent="0.3">
      <c r="A34" s="11">
        <f>'Site and production details'!C36</f>
        <v>0</v>
      </c>
      <c r="B34" s="11" t="str">
        <f>'Site and production details'!D36</f>
        <v/>
      </c>
      <c r="C34" s="11">
        <f>'Site and production details'!E36</f>
        <v>0</v>
      </c>
      <c r="D34" s="11">
        <f>'Site and production details'!F36</f>
        <v>0</v>
      </c>
      <c r="E34" s="11"/>
      <c r="F34" s="11"/>
      <c r="G34" s="1"/>
      <c r="H34" s="1" t="str">
        <v/>
      </c>
      <c r="I34" s="1" t="str">
        <v/>
      </c>
      <c r="J34" s="6" t="str">
        <v/>
      </c>
      <c r="K34" s="1"/>
      <c r="L34" s="1"/>
      <c r="M34" s="1"/>
      <c r="U34" s="1" t="s">
        <v>349</v>
      </c>
      <c r="V34" s="1"/>
    </row>
    <row r="35" spans="1:22" x14ac:dyDescent="0.3">
      <c r="A35" s="11">
        <f>'Site and production details'!C37</f>
        <v>0</v>
      </c>
      <c r="B35" s="11" t="str">
        <f>'Site and production details'!D37</f>
        <v/>
      </c>
      <c r="C35" s="11">
        <f>'Site and production details'!E37</f>
        <v>0</v>
      </c>
      <c r="D35" s="11">
        <f>'Site and production details'!F37</f>
        <v>0</v>
      </c>
      <c r="E35" s="11"/>
      <c r="F35" s="11"/>
      <c r="G35" s="1"/>
      <c r="H35" s="1" t="str">
        <v/>
      </c>
      <c r="I35" s="1" t="str">
        <v/>
      </c>
      <c r="J35" s="6" t="str">
        <v/>
      </c>
      <c r="K35" s="1"/>
      <c r="L35" s="1"/>
      <c r="M35" s="1"/>
      <c r="U35" s="1" t="s">
        <v>350</v>
      </c>
      <c r="V35" s="1"/>
    </row>
    <row r="36" spans="1:22" x14ac:dyDescent="0.3">
      <c r="A36" s="11">
        <f>'Site and production details'!C38</f>
        <v>0</v>
      </c>
      <c r="B36" s="11" t="str">
        <f>'Site and production details'!D38</f>
        <v/>
      </c>
      <c r="C36" s="11">
        <f>'Site and production details'!E38</f>
        <v>0</v>
      </c>
      <c r="D36" s="11">
        <f>'Site and production details'!F38</f>
        <v>0</v>
      </c>
      <c r="E36" s="11"/>
      <c r="F36" s="11"/>
      <c r="G36" s="1"/>
      <c r="H36" s="1" t="str">
        <v/>
      </c>
      <c r="I36" s="1" t="str">
        <v/>
      </c>
      <c r="J36" s="6" t="str">
        <v/>
      </c>
      <c r="K36" s="1"/>
      <c r="L36" s="1"/>
      <c r="M36" s="1"/>
      <c r="U36" s="1" t="s">
        <v>351</v>
      </c>
      <c r="V36" s="1"/>
    </row>
    <row r="37" spans="1:22" x14ac:dyDescent="0.3">
      <c r="A37" s="11">
        <f>'Site and production details'!C39</f>
        <v>0</v>
      </c>
      <c r="B37" s="11" t="str">
        <f>'Site and production details'!D39</f>
        <v/>
      </c>
      <c r="C37" s="11">
        <f>'Site and production details'!E39</f>
        <v>0</v>
      </c>
      <c r="D37" s="11">
        <f>'Site and production details'!F39</f>
        <v>0</v>
      </c>
      <c r="E37" s="11"/>
      <c r="F37" s="11"/>
      <c r="G37" s="1"/>
      <c r="H37" s="1" t="str">
        <v/>
      </c>
      <c r="I37" s="1" t="str">
        <v/>
      </c>
      <c r="J37" s="6" t="str">
        <v/>
      </c>
      <c r="K37" s="1"/>
      <c r="L37" s="1"/>
      <c r="M37" s="1"/>
      <c r="U37" s="1" t="s">
        <v>352</v>
      </c>
      <c r="V37" s="1"/>
    </row>
    <row r="38" spans="1:22" x14ac:dyDescent="0.3">
      <c r="A38" s="11">
        <f>'Site and production details'!C40</f>
        <v>0</v>
      </c>
      <c r="B38" s="11" t="str">
        <f>'Site and production details'!D40</f>
        <v/>
      </c>
      <c r="C38" s="11">
        <f>'Site and production details'!E40</f>
        <v>0</v>
      </c>
      <c r="D38" s="11">
        <f>'Site and production details'!F40</f>
        <v>0</v>
      </c>
      <c r="E38" s="11"/>
      <c r="F38" s="11"/>
      <c r="G38" s="1"/>
      <c r="H38" s="1" t="str">
        <v/>
      </c>
      <c r="I38" s="1" t="str">
        <v/>
      </c>
      <c r="J38" s="6" t="str">
        <v/>
      </c>
      <c r="K38" s="1"/>
      <c r="L38" s="1"/>
      <c r="M38" s="1"/>
      <c r="U38" s="1" t="s">
        <v>353</v>
      </c>
      <c r="V38" s="1"/>
    </row>
    <row r="39" spans="1:22" x14ac:dyDescent="0.3">
      <c r="A39" s="11">
        <f>'Site and production details'!C41</f>
        <v>0</v>
      </c>
      <c r="B39" s="11" t="str">
        <f>'Site and production details'!D41</f>
        <v/>
      </c>
      <c r="C39" s="11">
        <f>'Site and production details'!E41</f>
        <v>0</v>
      </c>
      <c r="D39" s="11">
        <f>'Site and production details'!F41</f>
        <v>0</v>
      </c>
      <c r="E39" s="11"/>
      <c r="F39" s="11"/>
      <c r="G39" s="1"/>
      <c r="H39" s="1" t="str">
        <v/>
      </c>
      <c r="I39" s="1" t="str">
        <v/>
      </c>
      <c r="J39" s="6" t="str">
        <v/>
      </c>
      <c r="K39" s="1"/>
      <c r="L39" s="1"/>
      <c r="M39" s="1"/>
      <c r="U39" s="1" t="s">
        <v>354</v>
      </c>
      <c r="V39" s="1"/>
    </row>
    <row r="40" spans="1:22" x14ac:dyDescent="0.3">
      <c r="A40" s="11">
        <f>'Site and production details'!C42</f>
        <v>0</v>
      </c>
      <c r="B40" s="11" t="str">
        <f>'Site and production details'!D42</f>
        <v/>
      </c>
      <c r="C40" s="11">
        <f>'Site and production details'!E42</f>
        <v>0</v>
      </c>
      <c r="D40" s="11">
        <f>'Site and production details'!F42</f>
        <v>0</v>
      </c>
      <c r="E40" s="11"/>
      <c r="F40" s="11"/>
      <c r="G40" s="1"/>
      <c r="H40" s="1" t="str">
        <v/>
      </c>
      <c r="I40" s="1" t="str">
        <v/>
      </c>
      <c r="J40" s="6" t="str">
        <v/>
      </c>
      <c r="K40" s="1"/>
      <c r="L40" s="1"/>
      <c r="M40" s="1"/>
      <c r="U40" s="1" t="s">
        <v>355</v>
      </c>
      <c r="V40" s="1"/>
    </row>
    <row r="41" spans="1:22" x14ac:dyDescent="0.3">
      <c r="A41" s="11">
        <f>'Site and production details'!C43</f>
        <v>0</v>
      </c>
      <c r="B41" s="11" t="str">
        <f>'Site and production details'!D43</f>
        <v/>
      </c>
      <c r="C41" s="11">
        <f>'Site and production details'!E43</f>
        <v>0</v>
      </c>
      <c r="D41" s="11">
        <f>'Site and production details'!F43</f>
        <v>0</v>
      </c>
      <c r="E41" s="11"/>
      <c r="F41" s="11"/>
      <c r="G41" s="1"/>
      <c r="H41" s="1" t="str">
        <v/>
      </c>
      <c r="I41" s="1" t="str">
        <v/>
      </c>
      <c r="J41" s="6" t="str">
        <v/>
      </c>
      <c r="K41" s="1"/>
      <c r="L41" s="1"/>
      <c r="M41" s="1"/>
      <c r="U41" s="1" t="s">
        <v>356</v>
      </c>
      <c r="V41" s="1"/>
    </row>
    <row r="42" spans="1:22" x14ac:dyDescent="0.3">
      <c r="A42" s="11">
        <f>'Site and production details'!C44</f>
        <v>0</v>
      </c>
      <c r="B42" s="11" t="str">
        <f>'Site and production details'!D44</f>
        <v/>
      </c>
      <c r="C42" s="11">
        <f>'Site and production details'!E44</f>
        <v>0</v>
      </c>
      <c r="D42" s="11">
        <f>'Site and production details'!F44</f>
        <v>0</v>
      </c>
      <c r="E42" s="11"/>
      <c r="F42" s="11"/>
      <c r="G42" s="1"/>
      <c r="H42" s="1" t="str">
        <v/>
      </c>
      <c r="I42" s="1" t="str">
        <v/>
      </c>
      <c r="J42" s="6" t="str">
        <v/>
      </c>
      <c r="K42" s="1"/>
      <c r="L42" s="1"/>
      <c r="M42" s="1"/>
      <c r="U42" s="1" t="s">
        <v>357</v>
      </c>
      <c r="V42" s="1"/>
    </row>
    <row r="43" spans="1:22" x14ac:dyDescent="0.3">
      <c r="A43" s="11">
        <f>'Site and production details'!C45</f>
        <v>0</v>
      </c>
      <c r="B43" s="11" t="str">
        <f>'Site and production details'!D45</f>
        <v/>
      </c>
      <c r="C43" s="11">
        <f>'Site and production details'!E45</f>
        <v>0</v>
      </c>
      <c r="D43" s="11">
        <f>'Site and production details'!F45</f>
        <v>0</v>
      </c>
      <c r="E43" s="11"/>
      <c r="F43" s="11"/>
      <c r="G43" s="1"/>
      <c r="H43" s="1" t="str">
        <v/>
      </c>
      <c r="I43" s="1" t="str">
        <v/>
      </c>
      <c r="J43" s="6" t="str">
        <v/>
      </c>
      <c r="K43" s="1"/>
      <c r="L43" s="1"/>
      <c r="M43" s="1"/>
      <c r="U43" s="1" t="s">
        <v>358</v>
      </c>
      <c r="V43" s="1"/>
    </row>
    <row r="44" spans="1:22" x14ac:dyDescent="0.3">
      <c r="A44" s="11">
        <f>'Site and production details'!C46</f>
        <v>0</v>
      </c>
      <c r="B44" s="11" t="str">
        <f>'Site and production details'!D46</f>
        <v/>
      </c>
      <c r="C44" s="11">
        <f>'Site and production details'!E46</f>
        <v>0</v>
      </c>
      <c r="D44" s="11">
        <f>'Site and production details'!F46</f>
        <v>0</v>
      </c>
      <c r="E44" s="11"/>
      <c r="F44" s="11"/>
      <c r="G44" s="1"/>
      <c r="H44" s="1" t="str">
        <v/>
      </c>
      <c r="I44" s="1" t="str">
        <v/>
      </c>
      <c r="J44" s="6" t="str">
        <v/>
      </c>
      <c r="K44" s="1"/>
      <c r="L44" s="1"/>
      <c r="M44" s="1"/>
      <c r="U44" s="1" t="s">
        <v>359</v>
      </c>
      <c r="V44" s="1"/>
    </row>
    <row r="45" spans="1:22" x14ac:dyDescent="0.3">
      <c r="A45" s="11">
        <f>'Site and production details'!C47</f>
        <v>0</v>
      </c>
      <c r="B45" s="11" t="str">
        <f>'Site and production details'!D47</f>
        <v/>
      </c>
      <c r="C45" s="11">
        <f>'Site and production details'!E47</f>
        <v>0</v>
      </c>
      <c r="D45" s="11">
        <f>'Site and production details'!F47</f>
        <v>0</v>
      </c>
      <c r="E45" s="11"/>
      <c r="F45" s="11"/>
      <c r="G45" s="1"/>
      <c r="H45" s="1" t="str">
        <v/>
      </c>
      <c r="I45" s="1" t="str">
        <v/>
      </c>
      <c r="J45" s="6" t="str">
        <v/>
      </c>
      <c r="K45" s="1"/>
      <c r="L45" s="1"/>
      <c r="M45" s="1"/>
      <c r="U45" s="1" t="s">
        <v>360</v>
      </c>
      <c r="V45" s="1"/>
    </row>
    <row r="46" spans="1:22" x14ac:dyDescent="0.3">
      <c r="A46" s="11">
        <f>'Site and production details'!C48</f>
        <v>0</v>
      </c>
      <c r="B46" s="11" t="str">
        <f>'Site and production details'!D48</f>
        <v/>
      </c>
      <c r="C46" s="11">
        <f>'Site and production details'!E48</f>
        <v>0</v>
      </c>
      <c r="D46" s="11">
        <f>'Site and production details'!F48</f>
        <v>0</v>
      </c>
      <c r="E46" s="11"/>
      <c r="F46" s="11"/>
      <c r="G46" s="1"/>
      <c r="H46" s="1" t="str">
        <v/>
      </c>
      <c r="I46" s="1" t="str">
        <v/>
      </c>
      <c r="J46" s="6" t="str">
        <v/>
      </c>
      <c r="K46" s="1"/>
      <c r="L46" s="1"/>
      <c r="M46" s="1"/>
      <c r="U46" s="1" t="s">
        <v>361</v>
      </c>
      <c r="V46" s="1"/>
    </row>
    <row r="47" spans="1:22" x14ac:dyDescent="0.3">
      <c r="A47" s="11">
        <f>'Site and production details'!C49</f>
        <v>0</v>
      </c>
      <c r="B47" s="11" t="str">
        <f>'Site and production details'!D49</f>
        <v/>
      </c>
      <c r="C47" s="11">
        <f>'Site and production details'!E49</f>
        <v>0</v>
      </c>
      <c r="D47" s="11">
        <f>'Site and production details'!F49</f>
        <v>0</v>
      </c>
      <c r="E47" s="11"/>
      <c r="F47" s="11"/>
      <c r="G47" s="1"/>
      <c r="H47" s="1" t="str">
        <v/>
      </c>
      <c r="I47" s="1" t="str">
        <v/>
      </c>
      <c r="J47" s="6" t="str">
        <v/>
      </c>
      <c r="K47" s="1"/>
      <c r="L47" s="1"/>
      <c r="M47" s="1"/>
      <c r="U47" s="1" t="s">
        <v>362</v>
      </c>
      <c r="V47" s="1"/>
    </row>
    <row r="48" spans="1:22" x14ac:dyDescent="0.3">
      <c r="A48" s="11">
        <f>'Site and production details'!C50</f>
        <v>0</v>
      </c>
      <c r="B48" s="11" t="str">
        <f>'Site and production details'!D50</f>
        <v/>
      </c>
      <c r="C48" s="11">
        <f>'Site and production details'!E50</f>
        <v>0</v>
      </c>
      <c r="D48" s="11">
        <f>'Site and production details'!F50</f>
        <v>0</v>
      </c>
      <c r="E48" s="11"/>
      <c r="F48" s="11"/>
      <c r="G48" s="1"/>
      <c r="H48" s="1" t="str">
        <v/>
      </c>
      <c r="I48" s="1" t="str">
        <v/>
      </c>
      <c r="J48" s="6" t="str">
        <v/>
      </c>
      <c r="K48" s="1"/>
      <c r="L48" s="1"/>
      <c r="M48" s="1"/>
      <c r="U48" s="1" t="s">
        <v>363</v>
      </c>
      <c r="V48" s="1"/>
    </row>
    <row r="49" spans="1:22" x14ac:dyDescent="0.3">
      <c r="A49" s="11">
        <f>'Site and production details'!C201</f>
        <v>0</v>
      </c>
      <c r="B49" s="11">
        <f>'Site and production details'!D201</f>
        <v>0</v>
      </c>
      <c r="C49" s="11">
        <f>'Site and production details'!E201</f>
        <v>0</v>
      </c>
      <c r="D49" s="11">
        <f>'Site and production details'!F201</f>
        <v>0</v>
      </c>
      <c r="E49" s="11"/>
      <c r="F49" s="11"/>
      <c r="G49" s="1"/>
      <c r="H49" s="1" t="str">
        <v/>
      </c>
      <c r="I49" s="1" t="str">
        <v/>
      </c>
      <c r="J49" s="6" t="str">
        <v/>
      </c>
      <c r="K49" s="1"/>
      <c r="L49" s="1"/>
      <c r="M49" s="1"/>
      <c r="U49" s="1" t="s">
        <v>364</v>
      </c>
      <c r="V49" s="1"/>
    </row>
    <row r="50" spans="1:22" x14ac:dyDescent="0.3">
      <c r="A50" s="11">
        <f>'Site and production details'!C202</f>
        <v>0</v>
      </c>
      <c r="B50" s="11">
        <f>'Site and production details'!D202</f>
        <v>0</v>
      </c>
      <c r="C50" s="11">
        <f>'Site and production details'!E202</f>
        <v>0</v>
      </c>
      <c r="D50" s="11">
        <f>'Site and production details'!F202</f>
        <v>0</v>
      </c>
      <c r="E50" s="11"/>
      <c r="F50" s="11"/>
      <c r="G50" s="1"/>
      <c r="H50" s="1" t="str">
        <v/>
      </c>
      <c r="I50" s="1" t="str">
        <v/>
      </c>
      <c r="J50" s="6" t="str">
        <v/>
      </c>
      <c r="K50" s="1"/>
      <c r="L50" s="1"/>
      <c r="M50" s="1"/>
      <c r="U50" s="1" t="s">
        <v>365</v>
      </c>
      <c r="V50" s="1"/>
    </row>
    <row r="51" spans="1:22" x14ac:dyDescent="0.3">
      <c r="A51" s="11">
        <f>'Site and production details'!C203</f>
        <v>0</v>
      </c>
      <c r="B51" s="11">
        <f>'Site and production details'!D203</f>
        <v>0</v>
      </c>
      <c r="C51" s="11">
        <f>'Site and production details'!E203</f>
        <v>0</v>
      </c>
      <c r="D51" s="11">
        <f>'Site and production details'!F203</f>
        <v>0</v>
      </c>
      <c r="E51" s="11"/>
      <c r="F51" s="11"/>
      <c r="G51" s="1"/>
      <c r="H51" s="1" t="str">
        <v/>
      </c>
      <c r="I51" s="1" t="str">
        <v/>
      </c>
      <c r="J51" s="6" t="str">
        <v/>
      </c>
      <c r="K51" s="1"/>
      <c r="L51" s="1"/>
      <c r="M51" s="1"/>
      <c r="U51" s="1" t="s">
        <v>366</v>
      </c>
      <c r="V51" s="1"/>
    </row>
    <row r="52" spans="1:22" x14ac:dyDescent="0.3">
      <c r="A52" s="11">
        <f>'Site and production details'!C204</f>
        <v>0</v>
      </c>
      <c r="B52" s="11">
        <f>'Site and production details'!D204</f>
        <v>0</v>
      </c>
      <c r="C52" s="11">
        <f>'Site and production details'!E204</f>
        <v>0</v>
      </c>
      <c r="D52" s="11">
        <f>'Site and production details'!F204</f>
        <v>0</v>
      </c>
      <c r="E52" s="11"/>
      <c r="F52" s="11"/>
      <c r="G52" s="1"/>
      <c r="H52" s="1" t="str">
        <v/>
      </c>
      <c r="I52" s="1" t="str">
        <v/>
      </c>
      <c r="J52" s="6" t="str">
        <v/>
      </c>
      <c r="K52" s="1"/>
      <c r="L52" s="1"/>
      <c r="M52" s="1"/>
      <c r="U52" s="1" t="s">
        <v>367</v>
      </c>
      <c r="V52" s="1"/>
    </row>
    <row r="53" spans="1:22" x14ac:dyDescent="0.3">
      <c r="A53" s="11">
        <f>'Site and production details'!C205</f>
        <v>0</v>
      </c>
      <c r="B53" s="11">
        <f>'Site and production details'!D205</f>
        <v>0</v>
      </c>
      <c r="C53" s="11">
        <f>'Site and production details'!E205</f>
        <v>0</v>
      </c>
      <c r="D53" s="11">
        <f>'Site and production details'!F205</f>
        <v>0</v>
      </c>
      <c r="E53" s="11"/>
      <c r="F53" s="11"/>
      <c r="G53" s="1"/>
      <c r="H53" s="1" t="str">
        <v/>
      </c>
      <c r="I53" s="1" t="str">
        <v/>
      </c>
      <c r="J53" s="6" t="str">
        <v/>
      </c>
      <c r="K53" s="1"/>
      <c r="L53" s="1"/>
      <c r="M53" s="1"/>
      <c r="U53" s="1" t="s">
        <v>368</v>
      </c>
      <c r="V53" s="1"/>
    </row>
    <row r="54" spans="1:22" x14ac:dyDescent="0.3">
      <c r="A54" s="11">
        <f>'Site and production details'!C206</f>
        <v>0</v>
      </c>
      <c r="B54" s="11">
        <f>'Site and production details'!D206</f>
        <v>0</v>
      </c>
      <c r="C54" s="11">
        <f>'Site and production details'!E206</f>
        <v>0</v>
      </c>
      <c r="D54" s="11">
        <f>'Site and production details'!F206</f>
        <v>0</v>
      </c>
      <c r="E54" s="11"/>
      <c r="F54" s="11"/>
      <c r="G54" s="1"/>
      <c r="H54" s="1" t="str">
        <v/>
      </c>
      <c r="I54" s="1" t="str">
        <v/>
      </c>
      <c r="J54" s="6" t="str">
        <v/>
      </c>
      <c r="K54" s="1"/>
      <c r="L54" s="1"/>
      <c r="M54" s="1"/>
      <c r="U54" s="1" t="s">
        <v>369</v>
      </c>
      <c r="V54" s="1"/>
    </row>
    <row r="55" spans="1:22" x14ac:dyDescent="0.3">
      <c r="A55" s="11">
        <f>'Site and production details'!C207</f>
        <v>0</v>
      </c>
      <c r="B55" s="11">
        <f>'Site and production details'!D207</f>
        <v>0</v>
      </c>
      <c r="C55" s="11">
        <f>'Site and production details'!E207</f>
        <v>0</v>
      </c>
      <c r="D55" s="11">
        <f>'Site and production details'!F207</f>
        <v>0</v>
      </c>
      <c r="E55" s="11"/>
      <c r="F55" s="11"/>
      <c r="G55" s="1"/>
      <c r="H55" s="1" t="str">
        <v/>
      </c>
      <c r="I55" s="1" t="str">
        <v/>
      </c>
      <c r="J55" s="6" t="str">
        <v/>
      </c>
      <c r="K55" s="1"/>
      <c r="L55" s="1"/>
      <c r="M55" s="1"/>
      <c r="U55" s="1" t="s">
        <v>370</v>
      </c>
      <c r="V55" s="1"/>
    </row>
    <row r="56" spans="1:22" x14ac:dyDescent="0.3">
      <c r="A56" s="11">
        <f>'Site and production details'!C208</f>
        <v>0</v>
      </c>
      <c r="B56" s="11">
        <f>'Site and production details'!D208</f>
        <v>0</v>
      </c>
      <c r="C56" s="11">
        <f>'Site and production details'!E208</f>
        <v>0</v>
      </c>
      <c r="D56" s="11">
        <f>'Site and production details'!F208</f>
        <v>0</v>
      </c>
      <c r="E56" s="11"/>
      <c r="F56" s="11"/>
      <c r="G56" s="1"/>
      <c r="H56" s="1" t="str">
        <v/>
      </c>
      <c r="I56" s="1" t="str">
        <v/>
      </c>
      <c r="J56" s="6" t="str">
        <v/>
      </c>
      <c r="K56" s="1"/>
      <c r="L56" s="1"/>
      <c r="M56" s="1"/>
      <c r="U56" s="1" t="s">
        <v>371</v>
      </c>
      <c r="V56" s="1"/>
    </row>
    <row r="57" spans="1:22" x14ac:dyDescent="0.3">
      <c r="A57" s="11">
        <f>'Site and production details'!C209</f>
        <v>0</v>
      </c>
      <c r="B57" s="11">
        <f>'Site and production details'!D209</f>
        <v>0</v>
      </c>
      <c r="C57" s="11">
        <f>'Site and production details'!E209</f>
        <v>0</v>
      </c>
      <c r="D57" s="11">
        <f>'Site and production details'!F209</f>
        <v>0</v>
      </c>
      <c r="E57" s="11"/>
      <c r="F57" s="11"/>
      <c r="G57" s="1"/>
      <c r="H57" s="1" t="str">
        <v/>
      </c>
      <c r="I57" s="1" t="str">
        <v/>
      </c>
      <c r="J57" s="6" t="str">
        <v/>
      </c>
      <c r="K57" s="1"/>
      <c r="L57" s="1"/>
      <c r="M57" s="1"/>
      <c r="U57" s="1" t="s">
        <v>372</v>
      </c>
      <c r="V57" s="1"/>
    </row>
    <row r="58" spans="1:22" x14ac:dyDescent="0.3">
      <c r="A58" s="11">
        <f>'Site and production details'!C210</f>
        <v>0</v>
      </c>
      <c r="B58" s="11">
        <f>'Site and production details'!D210</f>
        <v>0</v>
      </c>
      <c r="C58" s="11">
        <f>'Site and production details'!E210</f>
        <v>0</v>
      </c>
      <c r="D58" s="11">
        <f>'Site and production details'!F210</f>
        <v>0</v>
      </c>
      <c r="E58" s="11"/>
      <c r="F58" s="11"/>
      <c r="G58" s="1"/>
      <c r="H58" s="1" t="str">
        <v/>
      </c>
      <c r="I58" s="1" t="str">
        <v/>
      </c>
      <c r="J58" s="6" t="str">
        <v/>
      </c>
      <c r="K58" s="1"/>
      <c r="L58" s="1"/>
      <c r="M58" s="1"/>
      <c r="U58" s="1" t="s">
        <v>373</v>
      </c>
      <c r="V58" s="1"/>
    </row>
    <row r="59" spans="1:22" x14ac:dyDescent="0.3">
      <c r="A59" s="11">
        <f>'Site and production details'!C211</f>
        <v>0</v>
      </c>
      <c r="B59" s="11">
        <f>'Site and production details'!D211</f>
        <v>0</v>
      </c>
      <c r="C59" s="11">
        <f>'Site and production details'!E211</f>
        <v>0</v>
      </c>
      <c r="D59" s="11">
        <f>'Site and production details'!F211</f>
        <v>0</v>
      </c>
      <c r="E59" s="11"/>
      <c r="F59" s="11"/>
      <c r="G59" s="1"/>
      <c r="H59" s="1" t="str">
        <v/>
      </c>
      <c r="I59" s="1" t="str">
        <v/>
      </c>
      <c r="J59" s="6" t="str">
        <v/>
      </c>
      <c r="K59" s="1"/>
      <c r="L59" s="1"/>
      <c r="M59" s="1"/>
      <c r="U59" s="1" t="s">
        <v>374</v>
      </c>
      <c r="V59" s="1"/>
    </row>
    <row r="60" spans="1:22" x14ac:dyDescent="0.3">
      <c r="A60" s="11">
        <f>'Site and production details'!C212</f>
        <v>0</v>
      </c>
      <c r="B60" s="11">
        <f>'Site and production details'!D212</f>
        <v>0</v>
      </c>
      <c r="C60" s="11">
        <f>'Site and production details'!E212</f>
        <v>0</v>
      </c>
      <c r="D60" s="11">
        <f>'Site and production details'!F212</f>
        <v>0</v>
      </c>
      <c r="E60" s="11"/>
      <c r="F60" s="11"/>
      <c r="G60" s="1"/>
      <c r="H60" s="1" t="str">
        <v/>
      </c>
      <c r="I60" s="1" t="str">
        <v/>
      </c>
      <c r="J60" s="6" t="str">
        <v/>
      </c>
      <c r="K60" s="1"/>
      <c r="L60" s="1"/>
      <c r="M60" s="1"/>
      <c r="U60" s="1" t="s">
        <v>375</v>
      </c>
      <c r="V60" s="1"/>
    </row>
    <row r="61" spans="1:22" x14ac:dyDescent="0.3">
      <c r="A61" s="11">
        <f>'Site and production details'!C213</f>
        <v>0</v>
      </c>
      <c r="B61" s="11">
        <f>'Site and production details'!D213</f>
        <v>0</v>
      </c>
      <c r="C61" s="11">
        <f>'Site and production details'!E213</f>
        <v>0</v>
      </c>
      <c r="D61" s="11">
        <f>'Site and production details'!F213</f>
        <v>0</v>
      </c>
      <c r="E61" s="11"/>
      <c r="F61" s="11"/>
      <c r="G61" s="1"/>
      <c r="H61" s="1" t="str">
        <v/>
      </c>
      <c r="I61" s="1" t="str">
        <v/>
      </c>
      <c r="J61" s="6" t="str">
        <v/>
      </c>
      <c r="K61" s="1"/>
      <c r="L61" s="1"/>
      <c r="M61" s="1"/>
      <c r="U61" s="1" t="s">
        <v>376</v>
      </c>
      <c r="V61" s="1"/>
    </row>
    <row r="62" spans="1:22" x14ac:dyDescent="0.3">
      <c r="A62" s="11">
        <f>'Site and production details'!C214</f>
        <v>0</v>
      </c>
      <c r="B62" s="11">
        <f>'Site and production details'!D214</f>
        <v>0</v>
      </c>
      <c r="C62" s="11">
        <f>'Site and production details'!E214</f>
        <v>0</v>
      </c>
      <c r="D62" s="11">
        <f>'Site and production details'!F214</f>
        <v>0</v>
      </c>
      <c r="E62" s="11"/>
      <c r="F62" s="11"/>
      <c r="G62" s="1"/>
      <c r="H62" s="1" t="str">
        <v/>
      </c>
      <c r="I62" s="1" t="str">
        <v/>
      </c>
      <c r="J62" s="6" t="str">
        <v/>
      </c>
      <c r="K62" s="1"/>
      <c r="L62" s="1"/>
      <c r="M62" s="1"/>
      <c r="U62" s="1" t="s">
        <v>377</v>
      </c>
      <c r="V62" s="1"/>
    </row>
    <row r="63" spans="1:22" x14ac:dyDescent="0.3">
      <c r="A63" s="11">
        <f>'Site and production details'!C215</f>
        <v>0</v>
      </c>
      <c r="B63" s="11">
        <f>'Site and production details'!D215</f>
        <v>0</v>
      </c>
      <c r="C63" s="11">
        <f>'Site and production details'!E215</f>
        <v>0</v>
      </c>
      <c r="D63" s="11">
        <f>'Site and production details'!F215</f>
        <v>0</v>
      </c>
      <c r="E63" s="11"/>
      <c r="F63" s="11"/>
      <c r="G63" s="1"/>
      <c r="H63" s="1" t="str">
        <v/>
      </c>
      <c r="I63" s="1" t="str">
        <v/>
      </c>
      <c r="J63" s="6" t="str">
        <v/>
      </c>
      <c r="K63" s="1"/>
      <c r="L63" s="1"/>
      <c r="M63" s="1"/>
      <c r="U63" s="1" t="s">
        <v>378</v>
      </c>
      <c r="V63" s="1"/>
    </row>
    <row r="64" spans="1:22" x14ac:dyDescent="0.3">
      <c r="A64" s="11">
        <f>'Site and production details'!C216</f>
        <v>0</v>
      </c>
      <c r="B64" s="11">
        <f>'Site and production details'!D216</f>
        <v>0</v>
      </c>
      <c r="C64" s="11">
        <f>'Site and production details'!E216</f>
        <v>0</v>
      </c>
      <c r="D64" s="11">
        <f>'Site and production details'!F216</f>
        <v>0</v>
      </c>
      <c r="E64" s="11"/>
      <c r="F64" s="11"/>
      <c r="G64" s="1"/>
      <c r="H64" s="1" t="str">
        <v/>
      </c>
      <c r="I64" s="1" t="str">
        <v/>
      </c>
      <c r="J64" s="6" t="str">
        <v/>
      </c>
      <c r="K64" s="1"/>
      <c r="L64" s="1"/>
      <c r="M64" s="1"/>
      <c r="U64" s="1" t="s">
        <v>379</v>
      </c>
      <c r="V64" s="1"/>
    </row>
    <row r="65" spans="1:22" x14ac:dyDescent="0.3">
      <c r="A65" s="11">
        <f>'Site and production details'!C217</f>
        <v>0</v>
      </c>
      <c r="B65" s="11">
        <f>'Site and production details'!D217</f>
        <v>0</v>
      </c>
      <c r="C65" s="11">
        <f>'Site and production details'!E217</f>
        <v>0</v>
      </c>
      <c r="D65" s="11">
        <f>'Site and production details'!F217</f>
        <v>0</v>
      </c>
      <c r="E65" s="11"/>
      <c r="F65" s="11"/>
      <c r="G65" s="1"/>
      <c r="H65" s="1" t="str">
        <v/>
      </c>
      <c r="I65" s="1" t="str">
        <v/>
      </c>
      <c r="J65" s="6" t="str">
        <v/>
      </c>
      <c r="K65" s="1"/>
      <c r="L65" s="1"/>
      <c r="M65" s="1"/>
      <c r="U65" s="1" t="s">
        <v>380</v>
      </c>
      <c r="V65" s="1"/>
    </row>
    <row r="66" spans="1:22" x14ac:dyDescent="0.3">
      <c r="A66" s="11">
        <f>'Site and production details'!C218</f>
        <v>0</v>
      </c>
      <c r="B66" s="11">
        <f>'Site and production details'!D218</f>
        <v>0</v>
      </c>
      <c r="C66" s="11">
        <f>'Site and production details'!E218</f>
        <v>0</v>
      </c>
      <c r="D66" s="11">
        <f>'Site and production details'!F218</f>
        <v>0</v>
      </c>
      <c r="E66" s="11"/>
      <c r="F66" s="11"/>
      <c r="G66" s="1"/>
      <c r="H66" s="1" t="str">
        <v/>
      </c>
      <c r="I66" s="1" t="str">
        <v/>
      </c>
      <c r="J66" s="6" t="str">
        <v/>
      </c>
      <c r="K66" s="1"/>
      <c r="L66" s="1"/>
      <c r="M66" s="1"/>
      <c r="U66" s="1" t="s">
        <v>381</v>
      </c>
      <c r="V66" s="1"/>
    </row>
    <row r="67" spans="1:22" x14ac:dyDescent="0.3">
      <c r="A67" s="11">
        <f>'Site and production details'!C219</f>
        <v>0</v>
      </c>
      <c r="B67" s="11">
        <f>'Site and production details'!D219</f>
        <v>0</v>
      </c>
      <c r="C67" s="11">
        <f>'Site and production details'!E219</f>
        <v>0</v>
      </c>
      <c r="D67" s="11">
        <f>'Site and production details'!F219</f>
        <v>0</v>
      </c>
      <c r="E67" s="11"/>
      <c r="F67" s="11"/>
      <c r="G67" s="1"/>
      <c r="H67" s="1" t="str">
        <v/>
      </c>
      <c r="I67" s="1" t="str">
        <v/>
      </c>
      <c r="J67" s="6" t="str">
        <v/>
      </c>
      <c r="K67" s="1"/>
      <c r="L67" s="1"/>
      <c r="M67" s="1"/>
      <c r="U67" s="1" t="s">
        <v>382</v>
      </c>
      <c r="V67" s="1"/>
    </row>
    <row r="68" spans="1:22" x14ac:dyDescent="0.3">
      <c r="A68" s="11">
        <f>'Site and production details'!C220</f>
        <v>0</v>
      </c>
      <c r="B68" s="11">
        <f>'Site and production details'!D220</f>
        <v>0</v>
      </c>
      <c r="C68" s="11">
        <f>'Site and production details'!E220</f>
        <v>0</v>
      </c>
      <c r="D68" s="11">
        <f>'Site and production details'!F220</f>
        <v>0</v>
      </c>
      <c r="E68" s="11"/>
      <c r="F68" s="11"/>
      <c r="G68" s="1"/>
      <c r="H68" s="1" t="str">
        <v/>
      </c>
      <c r="I68" s="1" t="str">
        <v/>
      </c>
      <c r="J68" s="6" t="str">
        <v/>
      </c>
      <c r="K68" s="1"/>
      <c r="L68" s="1"/>
      <c r="M68" s="1"/>
      <c r="U68" s="1" t="s">
        <v>383</v>
      </c>
      <c r="V68" s="1"/>
    </row>
    <row r="69" spans="1:22" x14ac:dyDescent="0.3">
      <c r="A69" s="11">
        <f>'Site and production details'!C221</f>
        <v>0</v>
      </c>
      <c r="B69" s="11">
        <f>'Site and production details'!D221</f>
        <v>0</v>
      </c>
      <c r="C69" s="11">
        <f>'Site and production details'!E221</f>
        <v>0</v>
      </c>
      <c r="D69" s="11">
        <f>'Site and production details'!F221</f>
        <v>0</v>
      </c>
      <c r="E69" s="11"/>
      <c r="F69" s="11"/>
      <c r="G69" s="1"/>
      <c r="H69" s="1" t="str">
        <v/>
      </c>
      <c r="I69" s="1" t="str">
        <v/>
      </c>
      <c r="J69" s="6" t="str">
        <v/>
      </c>
      <c r="K69" s="1"/>
      <c r="L69" s="1"/>
      <c r="M69" s="1"/>
      <c r="U69" s="1" t="s">
        <v>384</v>
      </c>
      <c r="V69" s="1"/>
    </row>
    <row r="70" spans="1:22" x14ac:dyDescent="0.3">
      <c r="A70" s="11">
        <f>'Site and production details'!C222</f>
        <v>0</v>
      </c>
      <c r="B70" s="11">
        <f>'Site and production details'!D222</f>
        <v>0</v>
      </c>
      <c r="C70" s="11">
        <f>'Site and production details'!E222</f>
        <v>0</v>
      </c>
      <c r="D70" s="11">
        <f>'Site and production details'!F222</f>
        <v>0</v>
      </c>
      <c r="E70" s="11"/>
      <c r="F70" s="11"/>
      <c r="G70" s="1"/>
      <c r="H70" s="1" t="str">
        <v/>
      </c>
      <c r="I70" s="1" t="str">
        <v/>
      </c>
      <c r="J70" s="6" t="str">
        <v/>
      </c>
      <c r="K70" s="1"/>
      <c r="L70" s="1"/>
      <c r="M70" s="1"/>
      <c r="U70" s="1" t="s">
        <v>385</v>
      </c>
      <c r="V70" s="1"/>
    </row>
    <row r="71" spans="1:22" x14ac:dyDescent="0.3">
      <c r="A71" s="11">
        <f>'Site and production details'!C223</f>
        <v>0</v>
      </c>
      <c r="B71" s="11">
        <f>'Site and production details'!D223</f>
        <v>0</v>
      </c>
      <c r="C71" s="11">
        <f>'Site and production details'!E223</f>
        <v>0</v>
      </c>
      <c r="D71" s="11">
        <f>'Site and production details'!F223</f>
        <v>0</v>
      </c>
      <c r="E71" s="11"/>
      <c r="F71" s="11"/>
      <c r="G71" s="1"/>
      <c r="H71" s="1" t="str">
        <v/>
      </c>
      <c r="I71" s="1" t="str">
        <v/>
      </c>
      <c r="J71" s="6" t="str">
        <v/>
      </c>
      <c r="K71" s="1"/>
      <c r="L71" s="1"/>
      <c r="M71" s="1"/>
      <c r="U71" s="1" t="s">
        <v>386</v>
      </c>
      <c r="V71" s="1"/>
    </row>
    <row r="72" spans="1:22" x14ac:dyDescent="0.3">
      <c r="A72" s="11">
        <f>'Site and production details'!C224</f>
        <v>0</v>
      </c>
      <c r="B72" s="11">
        <f>'Site and production details'!D224</f>
        <v>0</v>
      </c>
      <c r="C72" s="11">
        <f>'Site and production details'!E224</f>
        <v>0</v>
      </c>
      <c r="D72" s="11">
        <f>'Site and production details'!F224</f>
        <v>0</v>
      </c>
      <c r="E72" s="11"/>
      <c r="F72" s="11"/>
      <c r="G72" s="1"/>
      <c r="H72" s="1" t="str">
        <v/>
      </c>
      <c r="I72" s="1" t="str">
        <v/>
      </c>
      <c r="J72" s="6" t="str">
        <v/>
      </c>
      <c r="K72" s="1"/>
      <c r="L72" s="1"/>
      <c r="M72" s="1"/>
      <c r="U72" s="1" t="s">
        <v>387</v>
      </c>
      <c r="V72" s="1"/>
    </row>
    <row r="73" spans="1:22" x14ac:dyDescent="0.3">
      <c r="A73" s="11">
        <f>'Site and production details'!C225</f>
        <v>0</v>
      </c>
      <c r="B73" s="11">
        <f>'Site and production details'!D225</f>
        <v>0</v>
      </c>
      <c r="C73" s="11">
        <f>'Site and production details'!E225</f>
        <v>0</v>
      </c>
      <c r="D73" s="11">
        <f>'Site and production details'!F225</f>
        <v>0</v>
      </c>
      <c r="E73" s="11"/>
      <c r="F73" s="11"/>
      <c r="G73" s="1"/>
      <c r="H73" s="1" t="str">
        <v/>
      </c>
      <c r="I73" s="1" t="str">
        <v/>
      </c>
      <c r="J73" s="6" t="str">
        <v/>
      </c>
      <c r="K73" s="1"/>
      <c r="L73" s="1"/>
      <c r="M73" s="1"/>
      <c r="U73" s="1" t="s">
        <v>388</v>
      </c>
      <c r="V73" s="1"/>
    </row>
    <row r="74" spans="1:22" x14ac:dyDescent="0.3">
      <c r="A74" s="11">
        <f>'Site and production details'!C226</f>
        <v>0</v>
      </c>
      <c r="B74" s="11">
        <f>'Site and production details'!D226</f>
        <v>0</v>
      </c>
      <c r="C74" s="11">
        <f>'Site and production details'!E226</f>
        <v>0</v>
      </c>
      <c r="D74" s="11">
        <f>'Site and production details'!F226</f>
        <v>0</v>
      </c>
      <c r="E74" s="11"/>
      <c r="F74" s="11"/>
      <c r="G74" s="1"/>
      <c r="H74" s="1" t="str">
        <v/>
      </c>
      <c r="I74" s="1" t="str">
        <v/>
      </c>
      <c r="J74" s="6" t="str">
        <v/>
      </c>
      <c r="K74" s="1"/>
      <c r="L74" s="1"/>
      <c r="M74" s="1"/>
      <c r="U74" s="1" t="s">
        <v>389</v>
      </c>
      <c r="V74" s="1"/>
    </row>
    <row r="75" spans="1:22" x14ac:dyDescent="0.3">
      <c r="A75" s="11">
        <f>'Site and production details'!C227</f>
        <v>0</v>
      </c>
      <c r="B75" s="11">
        <f>'Site and production details'!D227</f>
        <v>0</v>
      </c>
      <c r="C75" s="11">
        <f>'Site and production details'!E227</f>
        <v>0</v>
      </c>
      <c r="D75" s="11">
        <f>'Site and production details'!F227</f>
        <v>0</v>
      </c>
      <c r="E75" s="11"/>
      <c r="F75" s="11"/>
      <c r="G75" s="1"/>
      <c r="H75" s="1" t="str">
        <v/>
      </c>
      <c r="I75" s="1" t="str">
        <v/>
      </c>
      <c r="J75" s="6" t="str">
        <v/>
      </c>
      <c r="K75" s="1"/>
      <c r="L75" s="1"/>
      <c r="M75" s="1"/>
      <c r="U75" s="1" t="s">
        <v>390</v>
      </c>
      <c r="V75" s="1"/>
    </row>
    <row r="76" spans="1:22" x14ac:dyDescent="0.3">
      <c r="A76" s="11">
        <f>'Site and production details'!C228</f>
        <v>0</v>
      </c>
      <c r="B76" s="11">
        <f>'Site and production details'!D228</f>
        <v>0</v>
      </c>
      <c r="C76" s="11">
        <f>'Site and production details'!E228</f>
        <v>0</v>
      </c>
      <c r="D76" s="11">
        <f>'Site and production details'!F228</f>
        <v>0</v>
      </c>
      <c r="E76" s="11"/>
      <c r="F76" s="11"/>
      <c r="G76" s="1"/>
      <c r="H76" s="1" t="str">
        <v/>
      </c>
      <c r="I76" s="1" t="str">
        <v/>
      </c>
      <c r="J76" s="6" t="str">
        <v/>
      </c>
      <c r="K76" s="1"/>
      <c r="L76" s="1"/>
      <c r="M76" s="1"/>
      <c r="U76" s="1" t="s">
        <v>391</v>
      </c>
      <c r="V76" s="1"/>
    </row>
    <row r="77" spans="1:22" x14ac:dyDescent="0.3">
      <c r="A77" s="11">
        <f>'Site and production details'!C229</f>
        <v>0</v>
      </c>
      <c r="B77" s="11">
        <f>'Site and production details'!D229</f>
        <v>0</v>
      </c>
      <c r="C77" s="11">
        <f>'Site and production details'!E229</f>
        <v>0</v>
      </c>
      <c r="D77" s="11">
        <f>'Site and production details'!F229</f>
        <v>0</v>
      </c>
      <c r="E77" s="11"/>
      <c r="F77" s="11"/>
      <c r="G77" s="1"/>
      <c r="H77" s="1" t="str">
        <v/>
      </c>
      <c r="I77" s="1" t="str">
        <v/>
      </c>
      <c r="J77" s="6" t="str">
        <v/>
      </c>
      <c r="K77" s="1"/>
      <c r="L77" s="1"/>
      <c r="M77" s="1"/>
      <c r="U77" s="1" t="s">
        <v>392</v>
      </c>
      <c r="V77" s="1"/>
    </row>
    <row r="78" spans="1:22" x14ac:dyDescent="0.3">
      <c r="H78" t="str">
        <v/>
      </c>
      <c r="I78" t="str">
        <v/>
      </c>
      <c r="J78" t="str">
        <v/>
      </c>
      <c r="U78" s="1" t="s">
        <v>393</v>
      </c>
      <c r="V78" s="1"/>
    </row>
    <row r="79" spans="1:22" x14ac:dyDescent="0.3">
      <c r="H79" t="str">
        <v/>
      </c>
      <c r="I79" t="str">
        <v/>
      </c>
      <c r="J79" t="str">
        <v/>
      </c>
      <c r="U79" s="1" t="s">
        <v>394</v>
      </c>
      <c r="V79" s="1"/>
    </row>
    <row r="80" spans="1:22" x14ac:dyDescent="0.3">
      <c r="H80" t="str">
        <v/>
      </c>
      <c r="I80" t="str">
        <v/>
      </c>
      <c r="J80" t="str">
        <v/>
      </c>
      <c r="U80" s="1" t="s">
        <v>395</v>
      </c>
      <c r="V80" s="1"/>
    </row>
    <row r="81" spans="8:22" x14ac:dyDescent="0.3">
      <c r="H81" t="str">
        <v/>
      </c>
      <c r="I81" t="str">
        <v/>
      </c>
      <c r="J81" t="str">
        <v/>
      </c>
      <c r="U81" s="1" t="s">
        <v>396</v>
      </c>
      <c r="V81" s="1"/>
    </row>
    <row r="82" spans="8:22" x14ac:dyDescent="0.3">
      <c r="H82" t="str">
        <v/>
      </c>
      <c r="I82" t="str">
        <v/>
      </c>
      <c r="J82" t="str">
        <v/>
      </c>
      <c r="U82" s="1" t="s">
        <v>397</v>
      </c>
      <c r="V82" s="1"/>
    </row>
    <row r="83" spans="8:22" x14ac:dyDescent="0.3">
      <c r="H83" t="str">
        <v/>
      </c>
      <c r="I83" t="str">
        <v/>
      </c>
      <c r="J83" t="str">
        <v/>
      </c>
      <c r="U83" s="1" t="s">
        <v>398</v>
      </c>
      <c r="V83" s="1"/>
    </row>
    <row r="84" spans="8:22" x14ac:dyDescent="0.3">
      <c r="H84" t="str">
        <v/>
      </c>
      <c r="I84" t="str">
        <v/>
      </c>
      <c r="J84" t="str">
        <v/>
      </c>
      <c r="U84" s="1" t="s">
        <v>399</v>
      </c>
      <c r="V84" s="1"/>
    </row>
    <row r="85" spans="8:22" x14ac:dyDescent="0.3">
      <c r="H85" t="str">
        <v/>
      </c>
      <c r="I85" t="str">
        <v/>
      </c>
      <c r="J85" t="str">
        <v/>
      </c>
      <c r="U85" s="1" t="s">
        <v>400</v>
      </c>
      <c r="V85" s="1"/>
    </row>
    <row r="86" spans="8:22" x14ac:dyDescent="0.3">
      <c r="H86" t="str">
        <v/>
      </c>
      <c r="I86" t="str">
        <v/>
      </c>
      <c r="J86" t="str">
        <v/>
      </c>
      <c r="U86" s="1" t="s">
        <v>401</v>
      </c>
      <c r="V86" s="1"/>
    </row>
    <row r="87" spans="8:22" x14ac:dyDescent="0.3">
      <c r="H87" t="str">
        <v/>
      </c>
      <c r="I87" t="str">
        <v/>
      </c>
      <c r="J87" t="str">
        <v/>
      </c>
      <c r="U87" s="1" t="s">
        <v>402</v>
      </c>
      <c r="V87" s="1"/>
    </row>
    <row r="88" spans="8:22" x14ac:dyDescent="0.3">
      <c r="H88" t="str">
        <v/>
      </c>
      <c r="I88" t="str">
        <v/>
      </c>
      <c r="J88" t="str">
        <v/>
      </c>
      <c r="U88" s="1" t="s">
        <v>403</v>
      </c>
      <c r="V88" s="1"/>
    </row>
    <row r="89" spans="8:22" x14ac:dyDescent="0.3">
      <c r="H89" t="str">
        <v/>
      </c>
      <c r="I89" t="str">
        <v/>
      </c>
      <c r="J89" t="str">
        <v/>
      </c>
      <c r="U89" s="1" t="s">
        <v>404</v>
      </c>
      <c r="V89" s="1"/>
    </row>
    <row r="90" spans="8:22" x14ac:dyDescent="0.3">
      <c r="H90" t="str">
        <v/>
      </c>
      <c r="I90" t="str">
        <v/>
      </c>
      <c r="J90" t="str">
        <v/>
      </c>
      <c r="U90" s="1" t="s">
        <v>405</v>
      </c>
      <c r="V90" s="1"/>
    </row>
    <row r="91" spans="8:22" x14ac:dyDescent="0.3">
      <c r="H91" t="str">
        <v/>
      </c>
      <c r="I91" t="str">
        <v/>
      </c>
      <c r="J91" t="str">
        <v/>
      </c>
      <c r="U91" s="1" t="s">
        <v>406</v>
      </c>
      <c r="V91" s="1"/>
    </row>
    <row r="92" spans="8:22" x14ac:dyDescent="0.3">
      <c r="H92" t="str">
        <v/>
      </c>
      <c r="I92" t="str">
        <v/>
      </c>
      <c r="J92" t="str">
        <v/>
      </c>
      <c r="U92" s="1" t="s">
        <v>407</v>
      </c>
      <c r="V92" s="1"/>
    </row>
    <row r="93" spans="8:22" x14ac:dyDescent="0.3">
      <c r="H93" t="str">
        <v/>
      </c>
      <c r="I93" t="str">
        <v/>
      </c>
      <c r="J93" t="str">
        <v/>
      </c>
      <c r="U93" s="1" t="s">
        <v>408</v>
      </c>
      <c r="V93" s="1"/>
    </row>
    <row r="94" spans="8:22" x14ac:dyDescent="0.3">
      <c r="H94" t="str">
        <v/>
      </c>
      <c r="I94" t="str">
        <v/>
      </c>
      <c r="J94" t="str">
        <v/>
      </c>
      <c r="U94" s="1" t="s">
        <v>409</v>
      </c>
      <c r="V94" s="1"/>
    </row>
    <row r="95" spans="8:22" x14ac:dyDescent="0.3">
      <c r="H95" t="str">
        <v/>
      </c>
      <c r="I95" t="str">
        <v/>
      </c>
      <c r="J95" t="str">
        <v/>
      </c>
      <c r="U95" s="1" t="s">
        <v>410</v>
      </c>
      <c r="V95" s="1"/>
    </row>
    <row r="96" spans="8:22" x14ac:dyDescent="0.3">
      <c r="H96" t="str">
        <v/>
      </c>
      <c r="I96" t="str">
        <v/>
      </c>
      <c r="J96" t="str">
        <v/>
      </c>
      <c r="U96" s="1" t="s">
        <v>411</v>
      </c>
      <c r="V96" s="1"/>
    </row>
    <row r="97" spans="8:22" x14ac:dyDescent="0.3">
      <c r="H97" t="str">
        <v/>
      </c>
      <c r="I97" t="str">
        <v/>
      </c>
      <c r="J97" t="str">
        <v/>
      </c>
      <c r="U97" s="1" t="s">
        <v>412</v>
      </c>
      <c r="V97" s="1"/>
    </row>
    <row r="98" spans="8:22" x14ac:dyDescent="0.3">
      <c r="H98" t="str">
        <v/>
      </c>
      <c r="I98" t="str">
        <v/>
      </c>
      <c r="J98" t="str">
        <v/>
      </c>
      <c r="U98" s="1" t="s">
        <v>413</v>
      </c>
      <c r="V98" s="1"/>
    </row>
    <row r="99" spans="8:22" x14ac:dyDescent="0.3">
      <c r="H99" t="str">
        <v/>
      </c>
      <c r="I99" t="str">
        <v/>
      </c>
      <c r="J99" t="str">
        <v/>
      </c>
      <c r="U99" s="1" t="s">
        <v>414</v>
      </c>
      <c r="V99" s="1"/>
    </row>
    <row r="100" spans="8:22" x14ac:dyDescent="0.3">
      <c r="H100" t="str">
        <v/>
      </c>
      <c r="I100" t="str">
        <v/>
      </c>
      <c r="J100" t="str">
        <v/>
      </c>
      <c r="U100" s="1" t="s">
        <v>415</v>
      </c>
      <c r="V100" s="1"/>
    </row>
    <row r="101" spans="8:22" x14ac:dyDescent="0.3">
      <c r="H101" t="str">
        <v/>
      </c>
      <c r="I101" t="str">
        <v/>
      </c>
      <c r="J101" t="str">
        <v/>
      </c>
      <c r="U101" s="1" t="s">
        <v>416</v>
      </c>
      <c r="V101" s="1"/>
    </row>
    <row r="102" spans="8:22" x14ac:dyDescent="0.3">
      <c r="H102" t="str">
        <v/>
      </c>
      <c r="I102" t="str">
        <v/>
      </c>
      <c r="J102" t="str">
        <v/>
      </c>
      <c r="U102" s="1" t="s">
        <v>417</v>
      </c>
      <c r="V102" s="1"/>
    </row>
    <row r="103" spans="8:22" x14ac:dyDescent="0.3">
      <c r="H103" t="str">
        <v/>
      </c>
      <c r="I103" t="str">
        <v/>
      </c>
      <c r="J103" t="str">
        <v/>
      </c>
      <c r="U103" s="1" t="s">
        <v>418</v>
      </c>
      <c r="V103" s="1"/>
    </row>
    <row r="104" spans="8:22" x14ac:dyDescent="0.3">
      <c r="H104" t="str">
        <v/>
      </c>
      <c r="I104" t="str">
        <v/>
      </c>
      <c r="J104" t="str">
        <v/>
      </c>
      <c r="U104" s="1" t="s">
        <v>419</v>
      </c>
      <c r="V104" s="1"/>
    </row>
    <row r="105" spans="8:22" x14ac:dyDescent="0.3">
      <c r="H105" t="str">
        <v/>
      </c>
      <c r="I105" t="str">
        <v/>
      </c>
      <c r="J105" t="str">
        <v/>
      </c>
      <c r="U105" s="1" t="s">
        <v>420</v>
      </c>
      <c r="V105" s="1"/>
    </row>
    <row r="106" spans="8:22" x14ac:dyDescent="0.3">
      <c r="H106" t="str">
        <v/>
      </c>
      <c r="I106" t="str">
        <v/>
      </c>
      <c r="J106" t="str">
        <v/>
      </c>
      <c r="U106" s="1" t="s">
        <v>421</v>
      </c>
      <c r="V106" s="1"/>
    </row>
    <row r="107" spans="8:22" x14ac:dyDescent="0.3">
      <c r="H107" t="str">
        <v/>
      </c>
      <c r="I107" t="str">
        <v/>
      </c>
      <c r="J107" t="str">
        <v/>
      </c>
      <c r="U107" s="1" t="s">
        <v>422</v>
      </c>
      <c r="V107" s="1"/>
    </row>
    <row r="108" spans="8:22" x14ac:dyDescent="0.3">
      <c r="H108" t="str">
        <v/>
      </c>
      <c r="I108" t="str">
        <v/>
      </c>
      <c r="J108" t="str">
        <v/>
      </c>
      <c r="U108" s="1" t="s">
        <v>423</v>
      </c>
      <c r="V108" s="1"/>
    </row>
    <row r="109" spans="8:22" x14ac:dyDescent="0.3">
      <c r="H109" t="str">
        <v/>
      </c>
      <c r="I109" t="str">
        <v/>
      </c>
      <c r="J109" t="str">
        <v/>
      </c>
      <c r="U109" s="1" t="s">
        <v>424</v>
      </c>
      <c r="V109" s="1"/>
    </row>
    <row r="110" spans="8:22" x14ac:dyDescent="0.3">
      <c r="H110" t="str">
        <v/>
      </c>
      <c r="I110" t="str">
        <v/>
      </c>
      <c r="J110" t="str">
        <v/>
      </c>
      <c r="U110" s="1" t="s">
        <v>425</v>
      </c>
      <c r="V110" s="1"/>
    </row>
    <row r="111" spans="8:22" x14ac:dyDescent="0.3">
      <c r="H111" t="str">
        <v/>
      </c>
      <c r="I111" t="str">
        <v/>
      </c>
      <c r="J111" t="str">
        <v/>
      </c>
      <c r="U111" s="1" t="s">
        <v>426</v>
      </c>
      <c r="V111" s="1"/>
    </row>
    <row r="112" spans="8:22" x14ac:dyDescent="0.3">
      <c r="H112" t="str">
        <v/>
      </c>
      <c r="I112" t="str">
        <v/>
      </c>
      <c r="J112" t="str">
        <v/>
      </c>
      <c r="U112" s="1" t="s">
        <v>427</v>
      </c>
      <c r="V112" s="1"/>
    </row>
    <row r="113" spans="21:22" x14ac:dyDescent="0.3">
      <c r="U113" s="1" t="s">
        <v>428</v>
      </c>
      <c r="V113" s="1"/>
    </row>
    <row r="114" spans="21:22" x14ac:dyDescent="0.3">
      <c r="U114" s="1" t="s">
        <v>429</v>
      </c>
      <c r="V114" s="1"/>
    </row>
    <row r="115" spans="21:22" x14ac:dyDescent="0.3">
      <c r="U115" s="1" t="s">
        <v>430</v>
      </c>
      <c r="V115" s="1"/>
    </row>
    <row r="116" spans="21:22" x14ac:dyDescent="0.3">
      <c r="U116" s="1" t="s">
        <v>431</v>
      </c>
      <c r="V116" s="1"/>
    </row>
    <row r="117" spans="21:22" x14ac:dyDescent="0.3">
      <c r="U117" s="1" t="s">
        <v>432</v>
      </c>
      <c r="V117" s="1"/>
    </row>
    <row r="118" spans="21:22" x14ac:dyDescent="0.3">
      <c r="U118" s="1" t="s">
        <v>433</v>
      </c>
      <c r="V118" s="1"/>
    </row>
    <row r="119" spans="21:22" x14ac:dyDescent="0.3">
      <c r="U119" s="1" t="s">
        <v>434</v>
      </c>
      <c r="V119" s="1"/>
    </row>
    <row r="120" spans="21:22" x14ac:dyDescent="0.3">
      <c r="U120" s="1" t="s">
        <v>435</v>
      </c>
      <c r="V120" s="1"/>
    </row>
    <row r="121" spans="21:22" x14ac:dyDescent="0.3">
      <c r="U121" s="1" t="s">
        <v>436</v>
      </c>
      <c r="V121" s="1"/>
    </row>
    <row r="122" spans="21:22" x14ac:dyDescent="0.3">
      <c r="U122" s="1" t="s">
        <v>437</v>
      </c>
      <c r="V122" s="1"/>
    </row>
    <row r="123" spans="21:22" x14ac:dyDescent="0.3">
      <c r="U123" s="1" t="s">
        <v>438</v>
      </c>
      <c r="V123" s="1"/>
    </row>
    <row r="124" spans="21:22" x14ac:dyDescent="0.3">
      <c r="U124" s="1" t="s">
        <v>439</v>
      </c>
      <c r="V124" s="1"/>
    </row>
    <row r="125" spans="21:22" x14ac:dyDescent="0.3">
      <c r="U125" s="1" t="s">
        <v>440</v>
      </c>
      <c r="V125" s="1"/>
    </row>
    <row r="126" spans="21:22" x14ac:dyDescent="0.3">
      <c r="U126" s="1" t="s">
        <v>441</v>
      </c>
      <c r="V126" s="1"/>
    </row>
    <row r="127" spans="21:22" x14ac:dyDescent="0.3">
      <c r="U127" s="1" t="s">
        <v>442</v>
      </c>
      <c r="V127" s="1"/>
    </row>
    <row r="128" spans="21:22" x14ac:dyDescent="0.3">
      <c r="U128" s="1" t="s">
        <v>443</v>
      </c>
      <c r="V128" s="1"/>
    </row>
    <row r="129" spans="21:22" x14ac:dyDescent="0.3">
      <c r="U129" s="1" t="s">
        <v>444</v>
      </c>
      <c r="V129" s="1"/>
    </row>
    <row r="130" spans="21:22" x14ac:dyDescent="0.3">
      <c r="U130" s="1" t="s">
        <v>445</v>
      </c>
      <c r="V130" s="1"/>
    </row>
    <row r="131" spans="21:22" x14ac:dyDescent="0.3">
      <c r="U131" s="1" t="s">
        <v>446</v>
      </c>
      <c r="V131" s="1"/>
    </row>
    <row r="132" spans="21:22" x14ac:dyDescent="0.3">
      <c r="U132" s="1" t="s">
        <v>447</v>
      </c>
      <c r="V132" s="1"/>
    </row>
    <row r="133" spans="21:22" x14ac:dyDescent="0.3">
      <c r="U133" s="1" t="s">
        <v>448</v>
      </c>
      <c r="V133" s="1"/>
    </row>
    <row r="134" spans="21:22" x14ac:dyDescent="0.3">
      <c r="U134" s="1" t="s">
        <v>449</v>
      </c>
      <c r="V134" s="1"/>
    </row>
    <row r="135" spans="21:22" x14ac:dyDescent="0.3">
      <c r="U135" s="1" t="s">
        <v>450</v>
      </c>
      <c r="V135" s="1"/>
    </row>
    <row r="136" spans="21:22" x14ac:dyDescent="0.3">
      <c r="U136" s="1" t="s">
        <v>451</v>
      </c>
      <c r="V136" s="1"/>
    </row>
    <row r="137" spans="21:22" x14ac:dyDescent="0.3">
      <c r="U137" s="1" t="s">
        <v>452</v>
      </c>
      <c r="V137" s="1"/>
    </row>
    <row r="138" spans="21:22" x14ac:dyDescent="0.3">
      <c r="U138" s="1" t="s">
        <v>453</v>
      </c>
      <c r="V138" s="1"/>
    </row>
    <row r="139" spans="21:22" x14ac:dyDescent="0.3">
      <c r="U139" s="1" t="s">
        <v>454</v>
      </c>
      <c r="V139" s="1"/>
    </row>
    <row r="140" spans="21:22" x14ac:dyDescent="0.3">
      <c r="U140" s="1" t="s">
        <v>455</v>
      </c>
      <c r="V140" s="1"/>
    </row>
    <row r="141" spans="21:22" x14ac:dyDescent="0.3">
      <c r="U141" s="1" t="s">
        <v>456</v>
      </c>
      <c r="V141" s="1"/>
    </row>
    <row r="142" spans="21:22" x14ac:dyDescent="0.3">
      <c r="U142" s="1" t="s">
        <v>457</v>
      </c>
      <c r="V142" s="1"/>
    </row>
    <row r="143" spans="21:22" x14ac:dyDescent="0.3">
      <c r="U143" s="1" t="s">
        <v>458</v>
      </c>
      <c r="V143" s="1"/>
    </row>
    <row r="144" spans="21:22" x14ac:dyDescent="0.3">
      <c r="U144" s="1" t="s">
        <v>459</v>
      </c>
      <c r="V144" s="1"/>
    </row>
    <row r="145" spans="21:22" x14ac:dyDescent="0.3">
      <c r="U145" s="1" t="s">
        <v>460</v>
      </c>
      <c r="V145" s="1"/>
    </row>
    <row r="146" spans="21:22" x14ac:dyDescent="0.3">
      <c r="U146" s="1" t="s">
        <v>461</v>
      </c>
      <c r="V146" s="1"/>
    </row>
    <row r="147" spans="21:22" x14ac:dyDescent="0.3">
      <c r="U147" s="1" t="s">
        <v>462</v>
      </c>
      <c r="V147" s="1"/>
    </row>
    <row r="148" spans="21:22" x14ac:dyDescent="0.3">
      <c r="U148" s="1" t="s">
        <v>463</v>
      </c>
      <c r="V148" s="1"/>
    </row>
    <row r="149" spans="21:22" x14ac:dyDescent="0.3">
      <c r="U149" s="1" t="s">
        <v>464</v>
      </c>
      <c r="V149" s="1"/>
    </row>
    <row r="150" spans="21:22" x14ac:dyDescent="0.3">
      <c r="U150" s="1" t="s">
        <v>465</v>
      </c>
      <c r="V150" s="1"/>
    </row>
    <row r="151" spans="21:22" x14ac:dyDescent="0.3">
      <c r="U151" s="1" t="s">
        <v>466</v>
      </c>
      <c r="V151" s="1"/>
    </row>
    <row r="152" spans="21:22" x14ac:dyDescent="0.3">
      <c r="U152" s="1" t="s">
        <v>467</v>
      </c>
      <c r="V152" s="1"/>
    </row>
    <row r="153" spans="21:22" x14ac:dyDescent="0.3">
      <c r="U153" s="1" t="s">
        <v>468</v>
      </c>
      <c r="V153" s="1"/>
    </row>
    <row r="154" spans="21:22" x14ac:dyDescent="0.3">
      <c r="U154" s="1" t="s">
        <v>469</v>
      </c>
      <c r="V154" s="1"/>
    </row>
    <row r="155" spans="21:22" x14ac:dyDescent="0.3">
      <c r="U155" s="1" t="s">
        <v>470</v>
      </c>
      <c r="V155" s="1"/>
    </row>
    <row r="156" spans="21:22" x14ac:dyDescent="0.3">
      <c r="U156" s="1" t="s">
        <v>471</v>
      </c>
      <c r="V156" s="1"/>
    </row>
    <row r="157" spans="21:22" x14ac:dyDescent="0.3">
      <c r="U157" s="1" t="s">
        <v>472</v>
      </c>
      <c r="V157" s="1"/>
    </row>
    <row r="158" spans="21:22" x14ac:dyDescent="0.3">
      <c r="U158" s="1" t="s">
        <v>473</v>
      </c>
      <c r="V158" s="1"/>
    </row>
    <row r="159" spans="21:22" x14ac:dyDescent="0.3">
      <c r="U159" s="1" t="s">
        <v>474</v>
      </c>
      <c r="V159" s="1"/>
    </row>
    <row r="160" spans="21:22" x14ac:dyDescent="0.3">
      <c r="U160" s="1" t="s">
        <v>475</v>
      </c>
      <c r="V160" s="1"/>
    </row>
    <row r="161" spans="21:22" x14ac:dyDescent="0.3">
      <c r="U161" s="1" t="s">
        <v>476</v>
      </c>
      <c r="V161" s="1"/>
    </row>
    <row r="162" spans="21:22" x14ac:dyDescent="0.3">
      <c r="U162" s="1" t="s">
        <v>477</v>
      </c>
      <c r="V162" s="1"/>
    </row>
    <row r="163" spans="21:22" x14ac:dyDescent="0.3">
      <c r="U163" s="1" t="s">
        <v>478</v>
      </c>
      <c r="V163" s="1"/>
    </row>
    <row r="164" spans="21:22" x14ac:dyDescent="0.3">
      <c r="U164" s="1" t="s">
        <v>479</v>
      </c>
      <c r="V164" s="1"/>
    </row>
    <row r="165" spans="21:22" x14ac:dyDescent="0.3">
      <c r="U165" s="1" t="s">
        <v>480</v>
      </c>
      <c r="V165" s="1"/>
    </row>
    <row r="166" spans="21:22" x14ac:dyDescent="0.3">
      <c r="U166" s="1" t="s">
        <v>481</v>
      </c>
      <c r="V166" s="1"/>
    </row>
    <row r="167" spans="21:22" x14ac:dyDescent="0.3">
      <c r="U167" s="1" t="s">
        <v>482</v>
      </c>
      <c r="V167" s="1"/>
    </row>
    <row r="168" spans="21:22" x14ac:dyDescent="0.3">
      <c r="U168" s="1" t="s">
        <v>483</v>
      </c>
      <c r="V168" s="1"/>
    </row>
    <row r="169" spans="21:22" x14ac:dyDescent="0.3">
      <c r="U169" s="1" t="s">
        <v>484</v>
      </c>
      <c r="V169" s="1"/>
    </row>
    <row r="170" spans="21:22" x14ac:dyDescent="0.3">
      <c r="U170" s="1" t="s">
        <v>485</v>
      </c>
      <c r="V170" s="1"/>
    </row>
    <row r="171" spans="21:22" x14ac:dyDescent="0.3">
      <c r="U171" s="1" t="s">
        <v>486</v>
      </c>
      <c r="V171" s="1"/>
    </row>
    <row r="172" spans="21:22" x14ac:dyDescent="0.3">
      <c r="U172" s="1" t="s">
        <v>487</v>
      </c>
      <c r="V172" s="1"/>
    </row>
    <row r="173" spans="21:22" x14ac:dyDescent="0.3">
      <c r="U173" s="1" t="s">
        <v>488</v>
      </c>
      <c r="V173" s="1"/>
    </row>
    <row r="174" spans="21:22" x14ac:dyDescent="0.3">
      <c r="U174" s="1" t="s">
        <v>489</v>
      </c>
      <c r="V174" s="1"/>
    </row>
    <row r="175" spans="21:22" x14ac:dyDescent="0.3">
      <c r="U175" s="1" t="s">
        <v>490</v>
      </c>
      <c r="V175" s="1"/>
    </row>
    <row r="176" spans="21:22" x14ac:dyDescent="0.3">
      <c r="U176" s="1" t="s">
        <v>491</v>
      </c>
      <c r="V176" s="1"/>
    </row>
    <row r="177" spans="21:22" x14ac:dyDescent="0.3">
      <c r="U177" s="1" t="s">
        <v>492</v>
      </c>
      <c r="V177" s="1"/>
    </row>
    <row r="178" spans="21:22" x14ac:dyDescent="0.3">
      <c r="U178" s="1" t="s">
        <v>493</v>
      </c>
      <c r="V178" s="1"/>
    </row>
    <row r="179" spans="21:22" x14ac:dyDescent="0.3">
      <c r="U179" s="1" t="s">
        <v>494</v>
      </c>
      <c r="V179" s="1"/>
    </row>
    <row r="180" spans="21:22" x14ac:dyDescent="0.3">
      <c r="U180" s="1" t="s">
        <v>495</v>
      </c>
      <c r="V180" s="1"/>
    </row>
    <row r="181" spans="21:22" x14ac:dyDescent="0.3">
      <c r="U181" s="1" t="s">
        <v>496</v>
      </c>
      <c r="V181" s="1"/>
    </row>
    <row r="182" spans="21:22" x14ac:dyDescent="0.3">
      <c r="U182" s="1" t="s">
        <v>497</v>
      </c>
      <c r="V182" s="1"/>
    </row>
    <row r="183" spans="21:22" x14ac:dyDescent="0.3">
      <c r="U183" s="1" t="s">
        <v>498</v>
      </c>
      <c r="V183" s="1"/>
    </row>
    <row r="184" spans="21:22" x14ac:dyDescent="0.3">
      <c r="U184" s="1" t="s">
        <v>499</v>
      </c>
      <c r="V184" s="1"/>
    </row>
    <row r="185" spans="21:22" x14ac:dyDescent="0.3">
      <c r="U185" s="1" t="s">
        <v>500</v>
      </c>
      <c r="V185" s="1"/>
    </row>
    <row r="186" spans="21:22" x14ac:dyDescent="0.3">
      <c r="U186" s="1" t="s">
        <v>501</v>
      </c>
      <c r="V186" s="1"/>
    </row>
    <row r="187" spans="21:22" x14ac:dyDescent="0.3">
      <c r="U187" s="1" t="s">
        <v>502</v>
      </c>
      <c r="V187" s="1"/>
    </row>
    <row r="188" spans="21:22" x14ac:dyDescent="0.3">
      <c r="U188" s="1" t="s">
        <v>503</v>
      </c>
      <c r="V188" s="1"/>
    </row>
    <row r="189" spans="21:22" x14ac:dyDescent="0.3">
      <c r="U189" s="1" t="s">
        <v>504</v>
      </c>
      <c r="V189" s="1"/>
    </row>
    <row r="190" spans="21:22" x14ac:dyDescent="0.3">
      <c r="U190" s="1" t="s">
        <v>505</v>
      </c>
      <c r="V190" s="1"/>
    </row>
    <row r="191" spans="21:22" x14ac:dyDescent="0.3">
      <c r="U191" s="1" t="s">
        <v>506</v>
      </c>
      <c r="V191" s="1"/>
    </row>
    <row r="192" spans="21:22" x14ac:dyDescent="0.3">
      <c r="U192" s="1" t="s">
        <v>507</v>
      </c>
      <c r="V192" s="1"/>
    </row>
    <row r="193" spans="21:22" x14ac:dyDescent="0.3">
      <c r="U193" s="1" t="s">
        <v>508</v>
      </c>
      <c r="V193" s="1"/>
    </row>
    <row r="194" spans="21:22" x14ac:dyDescent="0.3">
      <c r="U194" s="1" t="s">
        <v>509</v>
      </c>
      <c r="V194" s="1"/>
    </row>
    <row r="195" spans="21:22" x14ac:dyDescent="0.3">
      <c r="U195" s="1" t="s">
        <v>510</v>
      </c>
      <c r="V195" s="1"/>
    </row>
    <row r="196" spans="21:22" x14ac:dyDescent="0.3">
      <c r="U196" s="1" t="s">
        <v>511</v>
      </c>
      <c r="V196" s="1"/>
    </row>
    <row r="197" spans="21:22" x14ac:dyDescent="0.3">
      <c r="U197" s="1" t="s">
        <v>512</v>
      </c>
      <c r="V197" s="1"/>
    </row>
    <row r="198" spans="21:22" x14ac:dyDescent="0.3">
      <c r="U198" s="1" t="s">
        <v>513</v>
      </c>
      <c r="V198" s="1"/>
    </row>
    <row r="199" spans="21:22" x14ac:dyDescent="0.3">
      <c r="U199" s="1" t="s">
        <v>514</v>
      </c>
      <c r="V199" s="1"/>
    </row>
    <row r="200" spans="21:22" x14ac:dyDescent="0.3">
      <c r="U200" s="1" t="s">
        <v>515</v>
      </c>
      <c r="V200" s="1"/>
    </row>
    <row r="201" spans="21:22" x14ac:dyDescent="0.3">
      <c r="U201" s="1" t="s">
        <v>516</v>
      </c>
      <c r="V201" s="1"/>
    </row>
    <row r="202" spans="21:22" x14ac:dyDescent="0.3">
      <c r="U202" s="1" t="s">
        <v>517</v>
      </c>
      <c r="V202" s="1"/>
    </row>
    <row r="203" spans="21:22" x14ac:dyDescent="0.3">
      <c r="U203" s="1" t="s">
        <v>518</v>
      </c>
      <c r="V203" s="1"/>
    </row>
    <row r="204" spans="21:22" x14ac:dyDescent="0.3">
      <c r="U204" s="1" t="s">
        <v>519</v>
      </c>
      <c r="V204" s="1"/>
    </row>
    <row r="205" spans="21:22" x14ac:dyDescent="0.3">
      <c r="U205" s="1" t="s">
        <v>520</v>
      </c>
      <c r="V205" s="1"/>
    </row>
    <row r="206" spans="21:22" x14ac:dyDescent="0.3">
      <c r="U206" s="1" t="s">
        <v>521</v>
      </c>
      <c r="V206" s="1"/>
    </row>
    <row r="207" spans="21:22" x14ac:dyDescent="0.3">
      <c r="U207" s="1" t="s">
        <v>522</v>
      </c>
      <c r="V207" s="1"/>
    </row>
    <row r="208" spans="21:22" x14ac:dyDescent="0.3">
      <c r="U208" s="1" t="s">
        <v>523</v>
      </c>
      <c r="V208" s="1"/>
    </row>
    <row r="209" spans="21:22" x14ac:dyDescent="0.3">
      <c r="U209" s="1" t="s">
        <v>524</v>
      </c>
      <c r="V209" s="1"/>
    </row>
    <row r="210" spans="21:22" x14ac:dyDescent="0.3">
      <c r="U210" s="1" t="s">
        <v>525</v>
      </c>
      <c r="V210" s="1"/>
    </row>
    <row r="211" spans="21:22" x14ac:dyDescent="0.3">
      <c r="U211" s="1" t="s">
        <v>526</v>
      </c>
      <c r="V211" s="1"/>
    </row>
    <row r="212" spans="21:22" x14ac:dyDescent="0.3">
      <c r="U212" s="1" t="s">
        <v>527</v>
      </c>
      <c r="V212" s="1"/>
    </row>
    <row r="213" spans="21:22" x14ac:dyDescent="0.3">
      <c r="U213" s="1" t="s">
        <v>528</v>
      </c>
      <c r="V213" s="1"/>
    </row>
    <row r="214" spans="21:22" x14ac:dyDescent="0.3">
      <c r="U214" s="1" t="s">
        <v>529</v>
      </c>
      <c r="V214" s="1"/>
    </row>
    <row r="215" spans="21:22" x14ac:dyDescent="0.3">
      <c r="U215" s="1" t="s">
        <v>530</v>
      </c>
      <c r="V215" s="1"/>
    </row>
    <row r="216" spans="21:22" x14ac:dyDescent="0.3">
      <c r="U216" s="1" t="s">
        <v>531</v>
      </c>
      <c r="V216" s="1"/>
    </row>
    <row r="217" spans="21:22" x14ac:dyDescent="0.3">
      <c r="U217" s="1" t="s">
        <v>532</v>
      </c>
      <c r="V217" s="1"/>
    </row>
    <row r="218" spans="21:22" x14ac:dyDescent="0.3">
      <c r="U218" s="1" t="s">
        <v>533</v>
      </c>
      <c r="V218" s="1"/>
    </row>
    <row r="219" spans="21:22" x14ac:dyDescent="0.3">
      <c r="U219" s="1" t="s">
        <v>534</v>
      </c>
      <c r="V219" s="1"/>
    </row>
    <row r="220" spans="21:22" x14ac:dyDescent="0.3">
      <c r="U220" s="1" t="s">
        <v>535</v>
      </c>
      <c r="V220" s="1"/>
    </row>
    <row r="221" spans="21:22" x14ac:dyDescent="0.3">
      <c r="U221" s="1" t="s">
        <v>536</v>
      </c>
      <c r="V221" s="1"/>
    </row>
    <row r="222" spans="21:22" x14ac:dyDescent="0.3">
      <c r="U222" s="1" t="s">
        <v>537</v>
      </c>
      <c r="V222" s="1"/>
    </row>
    <row r="223" spans="21:22" x14ac:dyDescent="0.3">
      <c r="U223" s="1" t="s">
        <v>538</v>
      </c>
      <c r="V223" s="1"/>
    </row>
    <row r="224" spans="21:22" x14ac:dyDescent="0.3">
      <c r="U224" s="1" t="s">
        <v>539</v>
      </c>
      <c r="V224" s="1"/>
    </row>
    <row r="225" spans="21:22" x14ac:dyDescent="0.3">
      <c r="U225" s="1" t="s">
        <v>540</v>
      </c>
      <c r="V225" s="1"/>
    </row>
    <row r="226" spans="21:22" x14ac:dyDescent="0.3">
      <c r="U226" s="1" t="s">
        <v>541</v>
      </c>
      <c r="V226" s="1"/>
    </row>
    <row r="227" spans="21:22" x14ac:dyDescent="0.3">
      <c r="U227" s="1" t="s">
        <v>542</v>
      </c>
      <c r="V227" s="1"/>
    </row>
    <row r="228" spans="21:22" x14ac:dyDescent="0.3">
      <c r="U228" s="1" t="s">
        <v>543</v>
      </c>
      <c r="V228" s="1"/>
    </row>
    <row r="229" spans="21:22" x14ac:dyDescent="0.3">
      <c r="U229" s="1" t="s">
        <v>544</v>
      </c>
      <c r="V229" s="1"/>
    </row>
    <row r="230" spans="21:22" x14ac:dyDescent="0.3">
      <c r="U230" s="1" t="s">
        <v>545</v>
      </c>
      <c r="V230" s="1"/>
    </row>
    <row r="231" spans="21:22" x14ac:dyDescent="0.3">
      <c r="U231" s="1" t="s">
        <v>546</v>
      </c>
      <c r="V231" s="1"/>
    </row>
    <row r="232" spans="21:22" x14ac:dyDescent="0.3">
      <c r="U232" s="1" t="s">
        <v>547</v>
      </c>
      <c r="V232" s="1"/>
    </row>
    <row r="233" spans="21:22" x14ac:dyDescent="0.3">
      <c r="U233" s="1" t="s">
        <v>548</v>
      </c>
      <c r="V233" s="1"/>
    </row>
    <row r="234" spans="21:22" x14ac:dyDescent="0.3">
      <c r="U234" s="1" t="s">
        <v>549</v>
      </c>
      <c r="V234" s="1"/>
    </row>
    <row r="235" spans="21:22" x14ac:dyDescent="0.3">
      <c r="U235" s="1" t="s">
        <v>550</v>
      </c>
      <c r="V235" s="1"/>
    </row>
    <row r="236" spans="21:22" x14ac:dyDescent="0.3">
      <c r="U236" s="1" t="s">
        <v>551</v>
      </c>
      <c r="V236" s="1"/>
    </row>
    <row r="237" spans="21:22" x14ac:dyDescent="0.3">
      <c r="U237" s="1" t="s">
        <v>552</v>
      </c>
      <c r="V237" s="1"/>
    </row>
    <row r="238" spans="21:22" x14ac:dyDescent="0.3">
      <c r="U238" s="1" t="s">
        <v>553</v>
      </c>
      <c r="V238" s="1"/>
    </row>
    <row r="239" spans="21:22" x14ac:dyDescent="0.3">
      <c r="U239" s="1" t="s">
        <v>554</v>
      </c>
      <c r="V239" s="1"/>
    </row>
    <row r="240" spans="21:22" x14ac:dyDescent="0.3">
      <c r="U240" s="1" t="s">
        <v>555</v>
      </c>
      <c r="V240" s="1"/>
    </row>
    <row r="241" spans="21:22" x14ac:dyDescent="0.3">
      <c r="U241" s="1" t="s">
        <v>556</v>
      </c>
      <c r="V241" s="1"/>
    </row>
    <row r="242" spans="21:22" x14ac:dyDescent="0.3">
      <c r="U242" s="1" t="s">
        <v>557</v>
      </c>
      <c r="V242" s="1"/>
    </row>
    <row r="243" spans="21:22" x14ac:dyDescent="0.3">
      <c r="U243" s="1" t="s">
        <v>558</v>
      </c>
      <c r="V243" s="1"/>
    </row>
    <row r="244" spans="21:22" x14ac:dyDescent="0.3">
      <c r="U244" s="1" t="s">
        <v>559</v>
      </c>
      <c r="V244" s="1"/>
    </row>
    <row r="245" spans="21:22" x14ac:dyDescent="0.3">
      <c r="U245" s="1" t="s">
        <v>560</v>
      </c>
      <c r="V245" s="1"/>
    </row>
    <row r="246" spans="21:22" x14ac:dyDescent="0.3">
      <c r="U246" s="1" t="s">
        <v>561</v>
      </c>
      <c r="V246" s="1"/>
    </row>
    <row r="247" spans="21:22" x14ac:dyDescent="0.3">
      <c r="U247" s="1" t="s">
        <v>562</v>
      </c>
      <c r="V247" s="1"/>
    </row>
    <row r="248" spans="21:22" x14ac:dyDescent="0.3">
      <c r="U248" s="1" t="s">
        <v>563</v>
      </c>
      <c r="V248" s="1"/>
    </row>
    <row r="249" spans="21:22" x14ac:dyDescent="0.3">
      <c r="U249" s="1" t="s">
        <v>564</v>
      </c>
      <c r="V249" s="1"/>
    </row>
    <row r="250" spans="21:22" x14ac:dyDescent="0.3">
      <c r="U250" s="1" t="s">
        <v>565</v>
      </c>
      <c r="V250" s="1"/>
    </row>
    <row r="251" spans="21:22" x14ac:dyDescent="0.3">
      <c r="U251" s="1" t="s">
        <v>566</v>
      </c>
      <c r="V251" s="1"/>
    </row>
    <row r="252" spans="21:22" x14ac:dyDescent="0.3">
      <c r="U252" s="1" t="s">
        <v>567</v>
      </c>
      <c r="V252" s="1"/>
    </row>
    <row r="253" spans="21:22" x14ac:dyDescent="0.3">
      <c r="U253" s="1" t="s">
        <v>568</v>
      </c>
      <c r="V253" s="1"/>
    </row>
    <row r="254" spans="21:22" x14ac:dyDescent="0.3">
      <c r="U254" s="1" t="s">
        <v>569</v>
      </c>
      <c r="V254" s="1"/>
    </row>
    <row r="255" spans="21:22" x14ac:dyDescent="0.3">
      <c r="U255" s="1" t="s">
        <v>570</v>
      </c>
      <c r="V255" s="1"/>
    </row>
    <row r="256" spans="21:22" x14ac:dyDescent="0.3">
      <c r="U256" s="1" t="s">
        <v>571</v>
      </c>
      <c r="V256" s="1"/>
    </row>
    <row r="257" spans="21:22" x14ac:dyDescent="0.3">
      <c r="U257" s="1" t="s">
        <v>572</v>
      </c>
      <c r="V257" s="1"/>
    </row>
    <row r="258" spans="21:22" x14ac:dyDescent="0.3">
      <c r="U258" s="1" t="s">
        <v>573</v>
      </c>
      <c r="V258" s="1"/>
    </row>
    <row r="259" spans="21:22" x14ac:dyDescent="0.3">
      <c r="U259" s="1" t="s">
        <v>574</v>
      </c>
      <c r="V259" s="1"/>
    </row>
    <row r="260" spans="21:22" x14ac:dyDescent="0.3">
      <c r="U260" s="1" t="s">
        <v>575</v>
      </c>
      <c r="V260" s="1"/>
    </row>
    <row r="261" spans="21:22" x14ac:dyDescent="0.3">
      <c r="U261" s="1" t="s">
        <v>576</v>
      </c>
      <c r="V261" s="1"/>
    </row>
    <row r="262" spans="21:22" x14ac:dyDescent="0.3">
      <c r="U262" s="1" t="s">
        <v>577</v>
      </c>
      <c r="V262" s="1"/>
    </row>
    <row r="263" spans="21:22" x14ac:dyDescent="0.3">
      <c r="U263" s="1" t="s">
        <v>578</v>
      </c>
      <c r="V263" s="1"/>
    </row>
    <row r="264" spans="21:22" x14ac:dyDescent="0.3">
      <c r="U264" s="1" t="s">
        <v>579</v>
      </c>
      <c r="V264" s="1"/>
    </row>
    <row r="265" spans="21:22" x14ac:dyDescent="0.3">
      <c r="U265" s="1" t="s">
        <v>580</v>
      </c>
      <c r="V265" s="1"/>
    </row>
    <row r="266" spans="21:22" x14ac:dyDescent="0.3">
      <c r="U266" s="1" t="s">
        <v>581</v>
      </c>
      <c r="V266" s="1"/>
    </row>
    <row r="267" spans="21:22" x14ac:dyDescent="0.3">
      <c r="U267" s="1" t="s">
        <v>582</v>
      </c>
      <c r="V267" s="1"/>
    </row>
    <row r="268" spans="21:22" x14ac:dyDescent="0.3">
      <c r="U268" s="1" t="s">
        <v>583</v>
      </c>
      <c r="V268" s="1"/>
    </row>
    <row r="269" spans="21:22" x14ac:dyDescent="0.3">
      <c r="U269" s="1" t="s">
        <v>584</v>
      </c>
      <c r="V269" s="1"/>
    </row>
    <row r="270" spans="21:22" x14ac:dyDescent="0.3">
      <c r="U270" s="1" t="s">
        <v>585</v>
      </c>
      <c r="V270" s="1"/>
    </row>
    <row r="271" spans="21:22" x14ac:dyDescent="0.3">
      <c r="U271" s="1" t="s">
        <v>586</v>
      </c>
      <c r="V271" s="1"/>
    </row>
    <row r="272" spans="21:22" x14ac:dyDescent="0.3">
      <c r="U272" s="1" t="s">
        <v>587</v>
      </c>
      <c r="V272" s="1"/>
    </row>
    <row r="273" spans="21:22" x14ac:dyDescent="0.3">
      <c r="U273" s="1" t="s">
        <v>588</v>
      </c>
      <c r="V273" s="1"/>
    </row>
    <row r="274" spans="21:22" x14ac:dyDescent="0.3">
      <c r="U274" s="1" t="s">
        <v>589</v>
      </c>
      <c r="V274" s="1"/>
    </row>
    <row r="275" spans="21:22" x14ac:dyDescent="0.3">
      <c r="U275" s="1" t="s">
        <v>590</v>
      </c>
      <c r="V275" s="1"/>
    </row>
    <row r="276" spans="21:22" x14ac:dyDescent="0.3">
      <c r="U276" s="1" t="s">
        <v>591</v>
      </c>
      <c r="V276" s="1"/>
    </row>
    <row r="277" spans="21:22" x14ac:dyDescent="0.3">
      <c r="U277" s="1" t="s">
        <v>592</v>
      </c>
      <c r="V277" s="1"/>
    </row>
    <row r="278" spans="21:22" x14ac:dyDescent="0.3">
      <c r="U278" s="1" t="s">
        <v>593</v>
      </c>
      <c r="V278" s="1"/>
    </row>
    <row r="279" spans="21:22" x14ac:dyDescent="0.3">
      <c r="U279" s="1" t="s">
        <v>594</v>
      </c>
      <c r="V279" s="1"/>
    </row>
    <row r="280" spans="21:22" x14ac:dyDescent="0.3">
      <c r="U280" s="1" t="s">
        <v>595</v>
      </c>
      <c r="V280" s="1"/>
    </row>
    <row r="281" spans="21:22" x14ac:dyDescent="0.3">
      <c r="U281" s="1" t="s">
        <v>596</v>
      </c>
      <c r="V281" s="1"/>
    </row>
    <row r="282" spans="21:22" x14ac:dyDescent="0.3">
      <c r="U282" s="1" t="s">
        <v>597</v>
      </c>
      <c r="V282" s="1"/>
    </row>
    <row r="283" spans="21:22" x14ac:dyDescent="0.3">
      <c r="U283" s="1" t="s">
        <v>598</v>
      </c>
      <c r="V283" s="1"/>
    </row>
    <row r="284" spans="21:22" x14ac:dyDescent="0.3">
      <c r="U284" s="1" t="s">
        <v>599</v>
      </c>
      <c r="V284" s="1"/>
    </row>
    <row r="285" spans="21:22" x14ac:dyDescent="0.3">
      <c r="U285" s="1" t="s">
        <v>600</v>
      </c>
      <c r="V285" s="1"/>
    </row>
    <row r="286" spans="21:22" x14ac:dyDescent="0.3">
      <c r="U286" s="1" t="s">
        <v>601</v>
      </c>
      <c r="V286" s="1"/>
    </row>
    <row r="287" spans="21:22" x14ac:dyDescent="0.3">
      <c r="U287" s="1" t="s">
        <v>602</v>
      </c>
      <c r="V287" s="1"/>
    </row>
    <row r="288" spans="21:22" x14ac:dyDescent="0.3">
      <c r="U288" s="1" t="s">
        <v>603</v>
      </c>
      <c r="V288" s="1"/>
    </row>
    <row r="289" spans="21:22" x14ac:dyDescent="0.3">
      <c r="U289" s="1" t="s">
        <v>604</v>
      </c>
      <c r="V289" s="1"/>
    </row>
    <row r="290" spans="21:22" x14ac:dyDescent="0.3">
      <c r="U290" s="1" t="s">
        <v>605</v>
      </c>
      <c r="V290" s="1"/>
    </row>
    <row r="291" spans="21:22" x14ac:dyDescent="0.3">
      <c r="U291" s="1" t="s">
        <v>606</v>
      </c>
      <c r="V291" s="1"/>
    </row>
    <row r="292" spans="21:22" x14ac:dyDescent="0.3">
      <c r="U292" s="1" t="s">
        <v>607</v>
      </c>
      <c r="V292" s="1"/>
    </row>
    <row r="293" spans="21:22" x14ac:dyDescent="0.3">
      <c r="U293" s="1" t="s">
        <v>608</v>
      </c>
      <c r="V293" s="1"/>
    </row>
    <row r="294" spans="21:22" x14ac:dyDescent="0.3">
      <c r="U294" s="1" t="s">
        <v>609</v>
      </c>
      <c r="V294" s="1"/>
    </row>
    <row r="295" spans="21:22" x14ac:dyDescent="0.3">
      <c r="U295" s="1" t="s">
        <v>610</v>
      </c>
      <c r="V295" s="1"/>
    </row>
    <row r="296" spans="21:22" x14ac:dyDescent="0.3">
      <c r="U296" s="1" t="s">
        <v>611</v>
      </c>
      <c r="V296" s="1"/>
    </row>
    <row r="297" spans="21:22" x14ac:dyDescent="0.3">
      <c r="U297" s="1" t="s">
        <v>612</v>
      </c>
      <c r="V297" s="1"/>
    </row>
    <row r="298" spans="21:22" x14ac:dyDescent="0.3">
      <c r="U298" s="1" t="s">
        <v>613</v>
      </c>
      <c r="V298" s="1"/>
    </row>
    <row r="299" spans="21:22" x14ac:dyDescent="0.3">
      <c r="U299" s="1" t="s">
        <v>614</v>
      </c>
      <c r="V299" s="1"/>
    </row>
    <row r="300" spans="21:22" x14ac:dyDescent="0.3">
      <c r="U300" s="1" t="s">
        <v>615</v>
      </c>
      <c r="V300" s="1"/>
    </row>
    <row r="301" spans="21:22" x14ac:dyDescent="0.3">
      <c r="U301" s="1" t="s">
        <v>616</v>
      </c>
      <c r="V301" s="1"/>
    </row>
    <row r="302" spans="21:22" x14ac:dyDescent="0.3">
      <c r="U302" s="1" t="s">
        <v>617</v>
      </c>
      <c r="V302" s="1"/>
    </row>
    <row r="303" spans="21:22" x14ac:dyDescent="0.3">
      <c r="U303" s="1" t="s">
        <v>618</v>
      </c>
      <c r="V303" s="1"/>
    </row>
    <row r="304" spans="21:22" x14ac:dyDescent="0.3">
      <c r="U304" s="1" t="s">
        <v>619</v>
      </c>
      <c r="V304" s="1"/>
    </row>
    <row r="305" spans="21:22" x14ac:dyDescent="0.3">
      <c r="U305" s="1" t="s">
        <v>620</v>
      </c>
      <c r="V305" s="1"/>
    </row>
    <row r="306" spans="21:22" x14ac:dyDescent="0.3">
      <c r="U306" s="1" t="s">
        <v>621</v>
      </c>
      <c r="V306" s="1"/>
    </row>
    <row r="307" spans="21:22" x14ac:dyDescent="0.3">
      <c r="U307" s="1" t="s">
        <v>622</v>
      </c>
      <c r="V307" s="1"/>
    </row>
    <row r="308" spans="21:22" x14ac:dyDescent="0.3">
      <c r="U308" s="1" t="s">
        <v>623</v>
      </c>
      <c r="V308" s="1"/>
    </row>
    <row r="309" spans="21:22" x14ac:dyDescent="0.3">
      <c r="U309" s="1" t="s">
        <v>624</v>
      </c>
      <c r="V309" s="1"/>
    </row>
    <row r="310" spans="21:22" x14ac:dyDescent="0.3">
      <c r="U310" s="1" t="s">
        <v>625</v>
      </c>
      <c r="V310" s="1"/>
    </row>
    <row r="311" spans="21:22" x14ac:dyDescent="0.3">
      <c r="U311" s="1" t="s">
        <v>626</v>
      </c>
      <c r="V311" s="1"/>
    </row>
    <row r="312" spans="21:22" x14ac:dyDescent="0.3">
      <c r="U312" s="1" t="s">
        <v>627</v>
      </c>
      <c r="V312" s="1"/>
    </row>
    <row r="313" spans="21:22" x14ac:dyDescent="0.3">
      <c r="U313" s="1" t="s">
        <v>628</v>
      </c>
      <c r="V313" s="1"/>
    </row>
    <row r="314" spans="21:22" x14ac:dyDescent="0.3">
      <c r="U314" s="1" t="s">
        <v>629</v>
      </c>
      <c r="V314" s="1"/>
    </row>
    <row r="315" spans="21:22" x14ac:dyDescent="0.3">
      <c r="U315" s="1" t="s">
        <v>630</v>
      </c>
      <c r="V315" s="1"/>
    </row>
    <row r="316" spans="21:22" x14ac:dyDescent="0.3">
      <c r="U316" s="1" t="s">
        <v>631</v>
      </c>
      <c r="V316" s="1"/>
    </row>
    <row r="317" spans="21:22" x14ac:dyDescent="0.3">
      <c r="U317" s="1" t="s">
        <v>632</v>
      </c>
      <c r="V317" s="1"/>
    </row>
    <row r="318" spans="21:22" x14ac:dyDescent="0.3">
      <c r="U318" s="1" t="s">
        <v>633</v>
      </c>
      <c r="V318" s="1"/>
    </row>
    <row r="319" spans="21:22" x14ac:dyDescent="0.3">
      <c r="U319" s="1" t="s">
        <v>634</v>
      </c>
      <c r="V319" s="1"/>
    </row>
    <row r="320" spans="21:22" x14ac:dyDescent="0.3">
      <c r="U320" s="1" t="s">
        <v>635</v>
      </c>
      <c r="V320" s="1"/>
    </row>
    <row r="321" spans="21:22" x14ac:dyDescent="0.3">
      <c r="U321" s="1" t="s">
        <v>636</v>
      </c>
      <c r="V321" s="1"/>
    </row>
    <row r="322" spans="21:22" x14ac:dyDescent="0.3">
      <c r="U322" s="1" t="s">
        <v>637</v>
      </c>
      <c r="V322" s="1"/>
    </row>
    <row r="323" spans="21:22" x14ac:dyDescent="0.3">
      <c r="U323" s="1" t="s">
        <v>638</v>
      </c>
      <c r="V323" s="1"/>
    </row>
    <row r="324" spans="21:22" x14ac:dyDescent="0.3">
      <c r="U324" s="1" t="s">
        <v>639</v>
      </c>
      <c r="V324" s="1"/>
    </row>
    <row r="325" spans="21:22" x14ac:dyDescent="0.3">
      <c r="U325" s="1" t="s">
        <v>640</v>
      </c>
      <c r="V325" s="1"/>
    </row>
    <row r="326" spans="21:22" x14ac:dyDescent="0.3">
      <c r="U326" s="1" t="s">
        <v>641</v>
      </c>
      <c r="V326" s="1"/>
    </row>
    <row r="327" spans="21:22" x14ac:dyDescent="0.3">
      <c r="U327" s="1" t="s">
        <v>642</v>
      </c>
      <c r="V327" s="1"/>
    </row>
    <row r="328" spans="21:22" x14ac:dyDescent="0.3">
      <c r="U328" s="1" t="s">
        <v>643</v>
      </c>
      <c r="V328" s="1"/>
    </row>
    <row r="329" spans="21:22" x14ac:dyDescent="0.3">
      <c r="U329" s="1" t="s">
        <v>644</v>
      </c>
      <c r="V329" s="1"/>
    </row>
    <row r="330" spans="21:22" x14ac:dyDescent="0.3">
      <c r="U330" s="1" t="s">
        <v>645</v>
      </c>
      <c r="V330" s="1"/>
    </row>
    <row r="331" spans="21:22" x14ac:dyDescent="0.3">
      <c r="U331" s="1" t="s">
        <v>646</v>
      </c>
      <c r="V331" s="1"/>
    </row>
    <row r="332" spans="21:22" x14ac:dyDescent="0.3">
      <c r="U332" s="1" t="s">
        <v>647</v>
      </c>
      <c r="V332" s="1"/>
    </row>
    <row r="333" spans="21:22" x14ac:dyDescent="0.3">
      <c r="U333" s="1" t="s">
        <v>648</v>
      </c>
      <c r="V333" s="1"/>
    </row>
    <row r="334" spans="21:22" x14ac:dyDescent="0.3">
      <c r="U334" s="1" t="s">
        <v>649</v>
      </c>
      <c r="V334" s="1"/>
    </row>
    <row r="335" spans="21:22" x14ac:dyDescent="0.3">
      <c r="U335" s="1" t="s">
        <v>650</v>
      </c>
      <c r="V335" s="1"/>
    </row>
    <row r="336" spans="21:22" x14ac:dyDescent="0.3">
      <c r="U336" s="1" t="s">
        <v>651</v>
      </c>
      <c r="V336" s="1"/>
    </row>
    <row r="337" spans="21:22" x14ac:dyDescent="0.3">
      <c r="U337" s="1" t="s">
        <v>652</v>
      </c>
      <c r="V337" s="1"/>
    </row>
    <row r="338" spans="21:22" x14ac:dyDescent="0.3">
      <c r="U338" s="1" t="s">
        <v>653</v>
      </c>
      <c r="V338" s="1"/>
    </row>
    <row r="339" spans="21:22" x14ac:dyDescent="0.3">
      <c r="U339" s="1" t="s">
        <v>654</v>
      </c>
      <c r="V339" s="1"/>
    </row>
    <row r="340" spans="21:22" x14ac:dyDescent="0.3">
      <c r="U340" s="1" t="s">
        <v>655</v>
      </c>
      <c r="V340" s="1"/>
    </row>
    <row r="341" spans="21:22" x14ac:dyDescent="0.3">
      <c r="U341" s="1" t="s">
        <v>656</v>
      </c>
      <c r="V341" s="1"/>
    </row>
    <row r="342" spans="21:22" x14ac:dyDescent="0.3">
      <c r="U342" s="1" t="s">
        <v>657</v>
      </c>
      <c r="V342" s="1"/>
    </row>
    <row r="343" spans="21:22" x14ac:dyDescent="0.3">
      <c r="U343" s="1" t="s">
        <v>658</v>
      </c>
      <c r="V343" s="1"/>
    </row>
    <row r="344" spans="21:22" x14ac:dyDescent="0.3">
      <c r="U344" s="1" t="s">
        <v>659</v>
      </c>
      <c r="V344" s="1"/>
    </row>
    <row r="345" spans="21:22" x14ac:dyDescent="0.3">
      <c r="U345" s="1" t="s">
        <v>660</v>
      </c>
      <c r="V345" s="1"/>
    </row>
    <row r="346" spans="21:22" x14ac:dyDescent="0.3">
      <c r="U346" s="1" t="s">
        <v>661</v>
      </c>
      <c r="V346" s="1"/>
    </row>
    <row r="347" spans="21:22" x14ac:dyDescent="0.3">
      <c r="U347" s="1" t="s">
        <v>662</v>
      </c>
      <c r="V347" s="1"/>
    </row>
    <row r="348" spans="21:22" x14ac:dyDescent="0.3">
      <c r="U348" s="1" t="s">
        <v>663</v>
      </c>
      <c r="V348" s="1"/>
    </row>
    <row r="349" spans="21:22" x14ac:dyDescent="0.3">
      <c r="U349" s="1" t="s">
        <v>664</v>
      </c>
      <c r="V349" s="1"/>
    </row>
    <row r="350" spans="21:22" x14ac:dyDescent="0.3">
      <c r="U350" s="1" t="s">
        <v>665</v>
      </c>
      <c r="V350" s="1"/>
    </row>
    <row r="351" spans="21:22" x14ac:dyDescent="0.3">
      <c r="U351" s="1" t="s">
        <v>666</v>
      </c>
      <c r="V351" s="1"/>
    </row>
    <row r="352" spans="21:22" x14ac:dyDescent="0.3">
      <c r="U352" s="1" t="s">
        <v>667</v>
      </c>
      <c r="V352" s="1"/>
    </row>
    <row r="353" spans="21:22" x14ac:dyDescent="0.3">
      <c r="U353" s="1" t="s">
        <v>668</v>
      </c>
      <c r="V353" s="1"/>
    </row>
    <row r="354" spans="21:22" x14ac:dyDescent="0.3">
      <c r="U354" s="1" t="s">
        <v>669</v>
      </c>
      <c r="V354" s="1"/>
    </row>
    <row r="355" spans="21:22" x14ac:dyDescent="0.3">
      <c r="U355" s="1" t="s">
        <v>670</v>
      </c>
      <c r="V355" s="1"/>
    </row>
    <row r="356" spans="21:22" x14ac:dyDescent="0.3">
      <c r="U356" s="1" t="s">
        <v>671</v>
      </c>
      <c r="V356" s="1"/>
    </row>
    <row r="357" spans="21:22" x14ac:dyDescent="0.3">
      <c r="U357" s="1" t="s">
        <v>672</v>
      </c>
      <c r="V357" s="1"/>
    </row>
    <row r="358" spans="21:22" x14ac:dyDescent="0.3">
      <c r="U358" s="1" t="s">
        <v>673</v>
      </c>
      <c r="V358" s="1"/>
    </row>
    <row r="359" spans="21:22" x14ac:dyDescent="0.3">
      <c r="U359" s="1" t="s">
        <v>674</v>
      </c>
      <c r="V359" s="1"/>
    </row>
    <row r="360" spans="21:22" x14ac:dyDescent="0.3">
      <c r="U360" s="1" t="s">
        <v>675</v>
      </c>
      <c r="V360" s="1"/>
    </row>
    <row r="361" spans="21:22" x14ac:dyDescent="0.3">
      <c r="U361" s="1" t="s">
        <v>676</v>
      </c>
      <c r="V361" s="1"/>
    </row>
    <row r="362" spans="21:22" x14ac:dyDescent="0.3">
      <c r="U362" s="1" t="s">
        <v>677</v>
      </c>
      <c r="V362" s="1"/>
    </row>
    <row r="363" spans="21:22" x14ac:dyDescent="0.3">
      <c r="U363" s="1" t="s">
        <v>678</v>
      </c>
      <c r="V363" s="1"/>
    </row>
    <row r="364" spans="21:22" x14ac:dyDescent="0.3">
      <c r="U364" s="1" t="s">
        <v>679</v>
      </c>
      <c r="V364" s="1"/>
    </row>
    <row r="365" spans="21:22" x14ac:dyDescent="0.3">
      <c r="U365" s="1" t="s">
        <v>680</v>
      </c>
      <c r="V365" s="1"/>
    </row>
    <row r="366" spans="21:22" x14ac:dyDescent="0.3">
      <c r="U366" s="1" t="s">
        <v>681</v>
      </c>
      <c r="V366" s="1"/>
    </row>
    <row r="367" spans="21:22" x14ac:dyDescent="0.3">
      <c r="U367" s="1" t="s">
        <v>682</v>
      </c>
      <c r="V367" s="1"/>
    </row>
    <row r="368" spans="21:22" x14ac:dyDescent="0.3">
      <c r="U368" s="1" t="s">
        <v>683</v>
      </c>
      <c r="V368" s="1"/>
    </row>
    <row r="369" spans="21:22" x14ac:dyDescent="0.3">
      <c r="U369" s="1" t="s">
        <v>684</v>
      </c>
      <c r="V369" s="1"/>
    </row>
    <row r="370" spans="21:22" x14ac:dyDescent="0.3">
      <c r="U370" s="1" t="s">
        <v>685</v>
      </c>
      <c r="V370" s="1"/>
    </row>
    <row r="371" spans="21:22" x14ac:dyDescent="0.3">
      <c r="U371" s="1" t="s">
        <v>686</v>
      </c>
      <c r="V371" s="1"/>
    </row>
    <row r="372" spans="21:22" x14ac:dyDescent="0.3">
      <c r="U372" s="1" t="s">
        <v>687</v>
      </c>
      <c r="V372" s="1"/>
    </row>
    <row r="373" spans="21:22" x14ac:dyDescent="0.3">
      <c r="U373" s="1" t="s">
        <v>688</v>
      </c>
      <c r="V373" s="1"/>
    </row>
    <row r="374" spans="21:22" x14ac:dyDescent="0.3">
      <c r="U374" s="1" t="s">
        <v>689</v>
      </c>
      <c r="V374" s="1"/>
    </row>
    <row r="375" spans="21:22" x14ac:dyDescent="0.3">
      <c r="U375" s="1" t="s">
        <v>690</v>
      </c>
      <c r="V375" s="1"/>
    </row>
    <row r="376" spans="21:22" x14ac:dyDescent="0.3">
      <c r="U376" s="1" t="s">
        <v>691</v>
      </c>
      <c r="V376" s="1"/>
    </row>
    <row r="377" spans="21:22" x14ac:dyDescent="0.3">
      <c r="U377" s="1" t="s">
        <v>692</v>
      </c>
      <c r="V377" s="1"/>
    </row>
    <row r="378" spans="21:22" x14ac:dyDescent="0.3">
      <c r="U378" s="1" t="s">
        <v>693</v>
      </c>
      <c r="V378" s="1"/>
    </row>
    <row r="379" spans="21:22" x14ac:dyDescent="0.3">
      <c r="U379" s="1" t="s">
        <v>694</v>
      </c>
      <c r="V379" s="1"/>
    </row>
    <row r="380" spans="21:22" x14ac:dyDescent="0.3">
      <c r="U380" s="1" t="s">
        <v>695</v>
      </c>
      <c r="V380" s="1"/>
    </row>
    <row r="381" spans="21:22" x14ac:dyDescent="0.3">
      <c r="U381" s="1" t="s">
        <v>696</v>
      </c>
      <c r="V381" s="1"/>
    </row>
    <row r="382" spans="21:22" x14ac:dyDescent="0.3">
      <c r="U382" s="1" t="s">
        <v>697</v>
      </c>
      <c r="V382" s="1"/>
    </row>
    <row r="383" spans="21:22" x14ac:dyDescent="0.3">
      <c r="U383" s="1" t="s">
        <v>698</v>
      </c>
      <c r="V383" s="1"/>
    </row>
    <row r="384" spans="21:22" x14ac:dyDescent="0.3">
      <c r="U384" s="1" t="s">
        <v>699</v>
      </c>
      <c r="V384" s="1"/>
    </row>
    <row r="385" spans="21:22" x14ac:dyDescent="0.3">
      <c r="U385" s="1" t="s">
        <v>700</v>
      </c>
      <c r="V385" s="1"/>
    </row>
    <row r="386" spans="21:22" x14ac:dyDescent="0.3">
      <c r="U386" s="1" t="s">
        <v>701</v>
      </c>
      <c r="V386" s="1"/>
    </row>
    <row r="387" spans="21:22" x14ac:dyDescent="0.3">
      <c r="U387" s="1" t="s">
        <v>702</v>
      </c>
      <c r="V387" s="1"/>
    </row>
    <row r="388" spans="21:22" x14ac:dyDescent="0.3">
      <c r="U388" s="1" t="s">
        <v>703</v>
      </c>
      <c r="V388" s="1"/>
    </row>
    <row r="389" spans="21:22" x14ac:dyDescent="0.3">
      <c r="U389" s="1" t="s">
        <v>704</v>
      </c>
      <c r="V389" s="1"/>
    </row>
    <row r="390" spans="21:22" x14ac:dyDescent="0.3">
      <c r="U390" s="1" t="s">
        <v>705</v>
      </c>
      <c r="V390" s="1"/>
    </row>
    <row r="391" spans="21:22" x14ac:dyDescent="0.3">
      <c r="U391" s="1" t="s">
        <v>706</v>
      </c>
      <c r="V391" s="1"/>
    </row>
    <row r="392" spans="21:22" x14ac:dyDescent="0.3">
      <c r="U392" s="1" t="s">
        <v>707</v>
      </c>
      <c r="V392" s="1"/>
    </row>
    <row r="393" spans="21:22" x14ac:dyDescent="0.3">
      <c r="U393" s="1" t="s">
        <v>708</v>
      </c>
      <c r="V393" s="1"/>
    </row>
    <row r="394" spans="21:22" x14ac:dyDescent="0.3">
      <c r="U394" s="1" t="s">
        <v>709</v>
      </c>
      <c r="V394" s="1"/>
    </row>
    <row r="395" spans="21:22" x14ac:dyDescent="0.3">
      <c r="U395" s="1" t="s">
        <v>710</v>
      </c>
      <c r="V395" s="1"/>
    </row>
    <row r="396" spans="21:22" x14ac:dyDescent="0.3">
      <c r="U396" s="1" t="s">
        <v>711</v>
      </c>
      <c r="V396" s="1"/>
    </row>
    <row r="397" spans="21:22" x14ac:dyDescent="0.3">
      <c r="U397" s="1" t="s">
        <v>712</v>
      </c>
      <c r="V397" s="1"/>
    </row>
    <row r="398" spans="21:22" x14ac:dyDescent="0.3">
      <c r="U398" s="1" t="s">
        <v>713</v>
      </c>
      <c r="V398" s="1"/>
    </row>
    <row r="399" spans="21:22" x14ac:dyDescent="0.3">
      <c r="U399" s="1" t="s">
        <v>714</v>
      </c>
      <c r="V399" s="1"/>
    </row>
    <row r="400" spans="21:22" x14ac:dyDescent="0.3">
      <c r="U400" s="1" t="s">
        <v>715</v>
      </c>
      <c r="V400" s="1"/>
    </row>
    <row r="401" spans="21:22" x14ac:dyDescent="0.3">
      <c r="U401" s="1" t="s">
        <v>716</v>
      </c>
      <c r="V401" s="1"/>
    </row>
    <row r="402" spans="21:22" x14ac:dyDescent="0.3">
      <c r="U402" s="1" t="s">
        <v>717</v>
      </c>
      <c r="V402" s="1"/>
    </row>
    <row r="403" spans="21:22" x14ac:dyDescent="0.3">
      <c r="U403" s="1" t="s">
        <v>718</v>
      </c>
      <c r="V403" s="1"/>
    </row>
    <row r="404" spans="21:22" x14ac:dyDescent="0.3">
      <c r="U404" s="1" t="s">
        <v>719</v>
      </c>
      <c r="V404" s="1"/>
    </row>
    <row r="405" spans="21:22" x14ac:dyDescent="0.3">
      <c r="U405" s="1" t="s">
        <v>720</v>
      </c>
      <c r="V405" s="1"/>
    </row>
    <row r="406" spans="21:22" x14ac:dyDescent="0.3">
      <c r="U406" s="1" t="s">
        <v>721</v>
      </c>
      <c r="V406" s="1"/>
    </row>
    <row r="407" spans="21:22" x14ac:dyDescent="0.3">
      <c r="U407" s="1" t="s">
        <v>722</v>
      </c>
      <c r="V407" s="1"/>
    </row>
    <row r="408" spans="21:22" x14ac:dyDescent="0.3">
      <c r="U408" s="1" t="s">
        <v>723</v>
      </c>
      <c r="V408" s="1"/>
    </row>
    <row r="409" spans="21:22" x14ac:dyDescent="0.3">
      <c r="U409" s="1" t="s">
        <v>724</v>
      </c>
      <c r="V409" s="1"/>
    </row>
    <row r="410" spans="21:22" x14ac:dyDescent="0.3">
      <c r="U410" s="1" t="s">
        <v>725</v>
      </c>
      <c r="V410" s="1"/>
    </row>
    <row r="411" spans="21:22" x14ac:dyDescent="0.3">
      <c r="U411" s="1" t="s">
        <v>726</v>
      </c>
      <c r="V411" s="1"/>
    </row>
    <row r="412" spans="21:22" x14ac:dyDescent="0.3">
      <c r="U412" s="1" t="s">
        <v>727</v>
      </c>
      <c r="V412" s="1"/>
    </row>
    <row r="413" spans="21:22" x14ac:dyDescent="0.3">
      <c r="U413" s="1" t="s">
        <v>728</v>
      </c>
      <c r="V413" s="1"/>
    </row>
    <row r="414" spans="21:22" x14ac:dyDescent="0.3">
      <c r="U414" s="1" t="s">
        <v>729</v>
      </c>
      <c r="V414" s="1"/>
    </row>
    <row r="415" spans="21:22" x14ac:dyDescent="0.3">
      <c r="U415" s="1" t="s">
        <v>730</v>
      </c>
      <c r="V415" s="1"/>
    </row>
    <row r="416" spans="21:22" x14ac:dyDescent="0.3">
      <c r="U416" s="1" t="s">
        <v>731</v>
      </c>
      <c r="V416" s="1"/>
    </row>
    <row r="417" spans="21:22" x14ac:dyDescent="0.3">
      <c r="U417" s="1" t="s">
        <v>732</v>
      </c>
      <c r="V417" s="1"/>
    </row>
    <row r="418" spans="21:22" x14ac:dyDescent="0.3">
      <c r="U418" s="1" t="s">
        <v>733</v>
      </c>
      <c r="V418" s="1"/>
    </row>
    <row r="419" spans="21:22" x14ac:dyDescent="0.3">
      <c r="U419" s="1" t="s">
        <v>734</v>
      </c>
      <c r="V419" s="1"/>
    </row>
    <row r="420" spans="21:22" x14ac:dyDescent="0.3">
      <c r="U420" s="1" t="s">
        <v>735</v>
      </c>
      <c r="V420" s="1"/>
    </row>
    <row r="421" spans="21:22" x14ac:dyDescent="0.3">
      <c r="U421" s="1" t="s">
        <v>736</v>
      </c>
      <c r="V421" s="1"/>
    </row>
    <row r="422" spans="21:22" x14ac:dyDescent="0.3">
      <c r="U422" s="1" t="s">
        <v>737</v>
      </c>
      <c r="V422" s="1"/>
    </row>
    <row r="423" spans="21:22" x14ac:dyDescent="0.3">
      <c r="U423" s="1" t="s">
        <v>738</v>
      </c>
      <c r="V423" s="1"/>
    </row>
    <row r="424" spans="21:22" x14ac:dyDescent="0.3">
      <c r="U424" s="1" t="s">
        <v>739</v>
      </c>
      <c r="V424" s="1"/>
    </row>
    <row r="425" spans="21:22" x14ac:dyDescent="0.3">
      <c r="U425" s="1" t="s">
        <v>740</v>
      </c>
      <c r="V425" s="1"/>
    </row>
    <row r="426" spans="21:22" x14ac:dyDescent="0.3">
      <c r="U426" s="1" t="s">
        <v>741</v>
      </c>
      <c r="V426" s="1"/>
    </row>
    <row r="427" spans="21:22" x14ac:dyDescent="0.3">
      <c r="U427" s="1" t="s">
        <v>742</v>
      </c>
      <c r="V427" s="1"/>
    </row>
    <row r="428" spans="21:22" x14ac:dyDescent="0.3">
      <c r="U428" s="1" t="s">
        <v>743</v>
      </c>
      <c r="V428" s="1"/>
    </row>
    <row r="429" spans="21:22" x14ac:dyDescent="0.3">
      <c r="U429" s="1" t="s">
        <v>744</v>
      </c>
      <c r="V429" s="1"/>
    </row>
    <row r="430" spans="21:22" x14ac:dyDescent="0.3">
      <c r="U430" s="1" t="s">
        <v>745</v>
      </c>
      <c r="V430" s="1"/>
    </row>
    <row r="431" spans="21:22" x14ac:dyDescent="0.3">
      <c r="U431" s="1" t="s">
        <v>746</v>
      </c>
      <c r="V431" s="1"/>
    </row>
    <row r="432" spans="21:22" x14ac:dyDescent="0.3">
      <c r="U432" s="1" t="s">
        <v>747</v>
      </c>
      <c r="V432" s="1"/>
    </row>
    <row r="433" spans="21:22" x14ac:dyDescent="0.3">
      <c r="U433" s="1" t="s">
        <v>748</v>
      </c>
      <c r="V433" s="1"/>
    </row>
    <row r="434" spans="21:22" x14ac:dyDescent="0.3">
      <c r="U434" s="1" t="s">
        <v>749</v>
      </c>
      <c r="V434" s="1"/>
    </row>
    <row r="435" spans="21:22" x14ac:dyDescent="0.3">
      <c r="U435" s="1" t="s">
        <v>750</v>
      </c>
      <c r="V435" s="1"/>
    </row>
    <row r="436" spans="21:22" x14ac:dyDescent="0.3">
      <c r="U436" s="1" t="s">
        <v>751</v>
      </c>
      <c r="V436" s="1"/>
    </row>
    <row r="437" spans="21:22" x14ac:dyDescent="0.3">
      <c r="U437" s="1" t="s">
        <v>752</v>
      </c>
      <c r="V437" s="1"/>
    </row>
    <row r="438" spans="21:22" x14ac:dyDescent="0.3">
      <c r="U438" s="1" t="s">
        <v>753</v>
      </c>
      <c r="V438" s="1"/>
    </row>
    <row r="439" spans="21:22" x14ac:dyDescent="0.3">
      <c r="U439" s="1" t="s">
        <v>754</v>
      </c>
      <c r="V439" s="1"/>
    </row>
    <row r="440" spans="21:22" x14ac:dyDescent="0.3">
      <c r="U440" s="1" t="s">
        <v>755</v>
      </c>
      <c r="V440" s="1"/>
    </row>
    <row r="441" spans="21:22" x14ac:dyDescent="0.3">
      <c r="U441" s="1" t="s">
        <v>756</v>
      </c>
      <c r="V441" s="1"/>
    </row>
    <row r="442" spans="21:22" x14ac:dyDescent="0.3">
      <c r="U442" s="1" t="s">
        <v>757</v>
      </c>
      <c r="V442" s="1"/>
    </row>
    <row r="443" spans="21:22" x14ac:dyDescent="0.3">
      <c r="U443" s="1" t="s">
        <v>758</v>
      </c>
      <c r="V443" s="1"/>
    </row>
    <row r="444" spans="21:22" x14ac:dyDescent="0.3">
      <c r="U444" s="1" t="s">
        <v>759</v>
      </c>
      <c r="V444" s="1"/>
    </row>
    <row r="445" spans="21:22" x14ac:dyDescent="0.3">
      <c r="U445" s="1" t="s">
        <v>760</v>
      </c>
      <c r="V445" s="1"/>
    </row>
    <row r="446" spans="21:22" x14ac:dyDescent="0.3">
      <c r="U446" s="1" t="s">
        <v>761</v>
      </c>
      <c r="V446" s="1"/>
    </row>
    <row r="447" spans="21:22" x14ac:dyDescent="0.3">
      <c r="U447" s="1" t="s">
        <v>762</v>
      </c>
      <c r="V447" s="1"/>
    </row>
    <row r="448" spans="21:22" x14ac:dyDescent="0.3">
      <c r="U448" s="1" t="s">
        <v>763</v>
      </c>
      <c r="V448" s="1"/>
    </row>
    <row r="449" spans="21:22" x14ac:dyDescent="0.3">
      <c r="U449" s="1" t="s">
        <v>764</v>
      </c>
      <c r="V449" s="1"/>
    </row>
    <row r="450" spans="21:22" x14ac:dyDescent="0.3">
      <c r="U450" s="1" t="s">
        <v>765</v>
      </c>
      <c r="V450" s="1"/>
    </row>
    <row r="451" spans="21:22" x14ac:dyDescent="0.3">
      <c r="U451" s="1" t="s">
        <v>766</v>
      </c>
      <c r="V451" s="1"/>
    </row>
    <row r="452" spans="21:22" x14ac:dyDescent="0.3">
      <c r="U452" s="1" t="s">
        <v>767</v>
      </c>
      <c r="V452" s="1"/>
    </row>
    <row r="453" spans="21:22" x14ac:dyDescent="0.3">
      <c r="U453" s="1" t="s">
        <v>768</v>
      </c>
      <c r="V453" s="1"/>
    </row>
    <row r="454" spans="21:22" x14ac:dyDescent="0.3">
      <c r="U454" s="1" t="s">
        <v>769</v>
      </c>
      <c r="V454" s="1"/>
    </row>
    <row r="455" spans="21:22" x14ac:dyDescent="0.3">
      <c r="U455" s="1" t="s">
        <v>770</v>
      </c>
      <c r="V455" s="1"/>
    </row>
    <row r="456" spans="21:22" x14ac:dyDescent="0.3">
      <c r="U456" s="1" t="s">
        <v>771</v>
      </c>
      <c r="V456" s="1"/>
    </row>
    <row r="457" spans="21:22" x14ac:dyDescent="0.3">
      <c r="U457" s="1" t="s">
        <v>772</v>
      </c>
      <c r="V457" s="1"/>
    </row>
    <row r="458" spans="21:22" x14ac:dyDescent="0.3">
      <c r="U458" s="1" t="s">
        <v>773</v>
      </c>
      <c r="V458" s="1"/>
    </row>
    <row r="459" spans="21:22" x14ac:dyDescent="0.3">
      <c r="U459" s="1" t="s">
        <v>774</v>
      </c>
      <c r="V459" s="1"/>
    </row>
    <row r="460" spans="21:22" x14ac:dyDescent="0.3">
      <c r="U460" s="1" t="s">
        <v>775</v>
      </c>
      <c r="V460" s="1"/>
    </row>
    <row r="461" spans="21:22" x14ac:dyDescent="0.3">
      <c r="U461" s="1" t="s">
        <v>776</v>
      </c>
      <c r="V461" s="1"/>
    </row>
    <row r="462" spans="21:22" x14ac:dyDescent="0.3">
      <c r="U462" s="1" t="s">
        <v>777</v>
      </c>
      <c r="V462" s="1"/>
    </row>
    <row r="463" spans="21:22" x14ac:dyDescent="0.3">
      <c r="U463" s="1" t="s">
        <v>778</v>
      </c>
      <c r="V463" s="1"/>
    </row>
    <row r="464" spans="21:22" x14ac:dyDescent="0.3">
      <c r="U464" s="1" t="s">
        <v>779</v>
      </c>
      <c r="V464" s="1"/>
    </row>
    <row r="465" spans="21:22" x14ac:dyDescent="0.3">
      <c r="U465" s="1" t="s">
        <v>780</v>
      </c>
      <c r="V465" s="1"/>
    </row>
    <row r="466" spans="21:22" x14ac:dyDescent="0.3">
      <c r="U466" s="1" t="s">
        <v>781</v>
      </c>
      <c r="V466" s="1"/>
    </row>
    <row r="467" spans="21:22" x14ac:dyDescent="0.3">
      <c r="U467" s="1" t="s">
        <v>782</v>
      </c>
      <c r="V467" s="1"/>
    </row>
    <row r="468" spans="21:22" x14ac:dyDescent="0.3">
      <c r="U468" s="1" t="s">
        <v>783</v>
      </c>
      <c r="V468" s="1"/>
    </row>
    <row r="469" spans="21:22" x14ac:dyDescent="0.3">
      <c r="U469" s="1" t="s">
        <v>784</v>
      </c>
      <c r="V469" s="1"/>
    </row>
    <row r="470" spans="21:22" x14ac:dyDescent="0.3">
      <c r="U470" s="1" t="s">
        <v>785</v>
      </c>
      <c r="V470" s="1"/>
    </row>
    <row r="471" spans="21:22" x14ac:dyDescent="0.3">
      <c r="U471" s="1" t="s">
        <v>786</v>
      </c>
      <c r="V471" s="1"/>
    </row>
    <row r="472" spans="21:22" x14ac:dyDescent="0.3">
      <c r="U472" s="1" t="s">
        <v>787</v>
      </c>
      <c r="V472" s="1"/>
    </row>
    <row r="473" spans="21:22" x14ac:dyDescent="0.3">
      <c r="U473" s="1" t="s">
        <v>788</v>
      </c>
      <c r="V473" s="1"/>
    </row>
    <row r="474" spans="21:22" x14ac:dyDescent="0.3">
      <c r="U474" s="1" t="s">
        <v>789</v>
      </c>
      <c r="V474" s="1"/>
    </row>
    <row r="475" spans="21:22" x14ac:dyDescent="0.3">
      <c r="U475" s="1" t="s">
        <v>790</v>
      </c>
      <c r="V475" s="1"/>
    </row>
    <row r="476" spans="21:22" x14ac:dyDescent="0.3">
      <c r="U476" s="1" t="s">
        <v>791</v>
      </c>
      <c r="V476" s="1"/>
    </row>
    <row r="477" spans="21:22" x14ac:dyDescent="0.3">
      <c r="U477" s="1" t="s">
        <v>792</v>
      </c>
      <c r="V477" s="1"/>
    </row>
    <row r="478" spans="21:22" x14ac:dyDescent="0.3">
      <c r="U478" s="1" t="s">
        <v>793</v>
      </c>
      <c r="V478" s="1"/>
    </row>
    <row r="479" spans="21:22" x14ac:dyDescent="0.3">
      <c r="U479" s="1" t="s">
        <v>794</v>
      </c>
      <c r="V479" s="1"/>
    </row>
    <row r="480" spans="21:22" x14ac:dyDescent="0.3">
      <c r="U480" s="1" t="s">
        <v>795</v>
      </c>
      <c r="V480" s="1"/>
    </row>
    <row r="481" spans="21:22" x14ac:dyDescent="0.3">
      <c r="U481" s="1" t="s">
        <v>796</v>
      </c>
      <c r="V481" s="1"/>
    </row>
    <row r="482" spans="21:22" x14ac:dyDescent="0.3">
      <c r="U482" s="1" t="s">
        <v>797</v>
      </c>
      <c r="V482" s="1"/>
    </row>
    <row r="483" spans="21:22" x14ac:dyDescent="0.3">
      <c r="U483" s="1" t="s">
        <v>798</v>
      </c>
      <c r="V483" s="1"/>
    </row>
    <row r="484" spans="21:22" x14ac:dyDescent="0.3">
      <c r="U484" s="1" t="s">
        <v>799</v>
      </c>
      <c r="V484" s="1"/>
    </row>
    <row r="485" spans="21:22" x14ac:dyDescent="0.3">
      <c r="U485" s="1" t="s">
        <v>800</v>
      </c>
      <c r="V485" s="1"/>
    </row>
    <row r="486" spans="21:22" x14ac:dyDescent="0.3">
      <c r="U486" s="1" t="s">
        <v>801</v>
      </c>
      <c r="V486" s="1"/>
    </row>
    <row r="487" spans="21:22" x14ac:dyDescent="0.3">
      <c r="U487" s="1" t="s">
        <v>802</v>
      </c>
      <c r="V487" s="1"/>
    </row>
    <row r="488" spans="21:22" x14ac:dyDescent="0.3">
      <c r="U488" s="1" t="s">
        <v>803</v>
      </c>
      <c r="V488" s="1"/>
    </row>
    <row r="489" spans="21:22" x14ac:dyDescent="0.3">
      <c r="U489" s="1" t="s">
        <v>804</v>
      </c>
      <c r="V489" s="1"/>
    </row>
    <row r="490" spans="21:22" x14ac:dyDescent="0.3">
      <c r="U490" s="1" t="s">
        <v>805</v>
      </c>
      <c r="V490" s="1"/>
    </row>
    <row r="491" spans="21:22" x14ac:dyDescent="0.3">
      <c r="U491" s="1" t="s">
        <v>806</v>
      </c>
      <c r="V491" s="1"/>
    </row>
    <row r="492" spans="21:22" x14ac:dyDescent="0.3">
      <c r="U492" s="1" t="s">
        <v>807</v>
      </c>
      <c r="V492" s="1"/>
    </row>
    <row r="493" spans="21:22" x14ac:dyDescent="0.3">
      <c r="U493" s="1" t="s">
        <v>808</v>
      </c>
      <c r="V493" s="1"/>
    </row>
    <row r="494" spans="21:22" x14ac:dyDescent="0.3">
      <c r="U494" s="1" t="s">
        <v>809</v>
      </c>
      <c r="V494" s="1"/>
    </row>
    <row r="495" spans="21:22" x14ac:dyDescent="0.3">
      <c r="U495" s="1" t="s">
        <v>810</v>
      </c>
      <c r="V495" s="1"/>
    </row>
    <row r="496" spans="21:22" x14ac:dyDescent="0.3">
      <c r="U496" s="1" t="s">
        <v>811</v>
      </c>
      <c r="V496" s="1"/>
    </row>
    <row r="497" spans="21:22" x14ac:dyDescent="0.3">
      <c r="U497" s="1" t="s">
        <v>812</v>
      </c>
      <c r="V497" s="1"/>
    </row>
    <row r="498" spans="21:22" x14ac:dyDescent="0.3">
      <c r="U498" s="1" t="s">
        <v>813</v>
      </c>
      <c r="V498" s="1"/>
    </row>
    <row r="499" spans="21:22" x14ac:dyDescent="0.3">
      <c r="U499" s="1" t="s">
        <v>814</v>
      </c>
      <c r="V499" s="1"/>
    </row>
    <row r="500" spans="21:22" x14ac:dyDescent="0.3">
      <c r="U500" s="1" t="s">
        <v>815</v>
      </c>
      <c r="V500" s="1"/>
    </row>
    <row r="501" spans="21:22" x14ac:dyDescent="0.3">
      <c r="U501" s="1" t="s">
        <v>816</v>
      </c>
      <c r="V501" s="1"/>
    </row>
    <row r="502" spans="21:22" x14ac:dyDescent="0.3">
      <c r="U502" s="1" t="s">
        <v>817</v>
      </c>
      <c r="V502" s="1"/>
    </row>
    <row r="503" spans="21:22" x14ac:dyDescent="0.3">
      <c r="U503" s="1" t="s">
        <v>818</v>
      </c>
      <c r="V503" s="1"/>
    </row>
    <row r="504" spans="21:22" x14ac:dyDescent="0.3">
      <c r="U504" s="1" t="s">
        <v>819</v>
      </c>
      <c r="V504" s="1"/>
    </row>
    <row r="505" spans="21:22" x14ac:dyDescent="0.3">
      <c r="U505" s="1" t="s">
        <v>820</v>
      </c>
      <c r="V505" s="1"/>
    </row>
    <row r="506" spans="21:22" x14ac:dyDescent="0.3">
      <c r="U506" s="1" t="s">
        <v>821</v>
      </c>
      <c r="V506" s="1"/>
    </row>
    <row r="507" spans="21:22" x14ac:dyDescent="0.3">
      <c r="U507" s="1" t="s">
        <v>822</v>
      </c>
      <c r="V507" s="1"/>
    </row>
    <row r="508" spans="21:22" x14ac:dyDescent="0.3">
      <c r="U508" s="1" t="s">
        <v>823</v>
      </c>
      <c r="V508" s="1"/>
    </row>
    <row r="509" spans="21:22" x14ac:dyDescent="0.3">
      <c r="U509" s="1" t="s">
        <v>824</v>
      </c>
      <c r="V509" s="1"/>
    </row>
    <row r="510" spans="21:22" x14ac:dyDescent="0.3">
      <c r="U510" s="1" t="s">
        <v>825</v>
      </c>
      <c r="V510" s="1"/>
    </row>
    <row r="511" spans="21:22" x14ac:dyDescent="0.3">
      <c r="U511" s="1" t="s">
        <v>826</v>
      </c>
      <c r="V511" s="1"/>
    </row>
    <row r="512" spans="21:22" x14ac:dyDescent="0.3">
      <c r="U512" s="1" t="s">
        <v>827</v>
      </c>
      <c r="V512" s="1"/>
    </row>
    <row r="513" spans="21:22" x14ac:dyDescent="0.3">
      <c r="U513" s="1" t="s">
        <v>828</v>
      </c>
      <c r="V513" s="1"/>
    </row>
    <row r="514" spans="21:22" x14ac:dyDescent="0.3">
      <c r="U514" s="1" t="s">
        <v>829</v>
      </c>
      <c r="V514" s="1"/>
    </row>
    <row r="515" spans="21:22" x14ac:dyDescent="0.3">
      <c r="U515" s="1" t="s">
        <v>830</v>
      </c>
      <c r="V515" s="1"/>
    </row>
    <row r="516" spans="21:22" x14ac:dyDescent="0.3">
      <c r="U516" s="1" t="s">
        <v>831</v>
      </c>
      <c r="V516" s="1"/>
    </row>
    <row r="517" spans="21:22" x14ac:dyDescent="0.3">
      <c r="U517" s="1" t="s">
        <v>832</v>
      </c>
      <c r="V517" s="1"/>
    </row>
    <row r="518" spans="21:22" x14ac:dyDescent="0.3">
      <c r="U518" s="1" t="s">
        <v>833</v>
      </c>
      <c r="V518" s="1"/>
    </row>
    <row r="519" spans="21:22" x14ac:dyDescent="0.3">
      <c r="U519" s="1" t="s">
        <v>834</v>
      </c>
      <c r="V519" s="1"/>
    </row>
    <row r="520" spans="21:22" x14ac:dyDescent="0.3">
      <c r="U520" s="1" t="s">
        <v>835</v>
      </c>
      <c r="V520" s="1"/>
    </row>
    <row r="521" spans="21:22" x14ac:dyDescent="0.3">
      <c r="U521" s="1" t="s">
        <v>836</v>
      </c>
      <c r="V521" s="1"/>
    </row>
    <row r="522" spans="21:22" x14ac:dyDescent="0.3">
      <c r="U522" s="1" t="s">
        <v>837</v>
      </c>
      <c r="V522" s="1"/>
    </row>
    <row r="523" spans="21:22" x14ac:dyDescent="0.3">
      <c r="U523" s="1" t="s">
        <v>838</v>
      </c>
      <c r="V523" s="1"/>
    </row>
    <row r="524" spans="21:22" x14ac:dyDescent="0.3">
      <c r="U524" s="1" t="s">
        <v>839</v>
      </c>
      <c r="V524" s="1"/>
    </row>
    <row r="525" spans="21:22" x14ac:dyDescent="0.3">
      <c r="U525" s="1" t="s">
        <v>840</v>
      </c>
      <c r="V525" s="1"/>
    </row>
    <row r="526" spans="21:22" x14ac:dyDescent="0.3">
      <c r="U526" s="1" t="s">
        <v>841</v>
      </c>
      <c r="V526" s="1"/>
    </row>
    <row r="527" spans="21:22" x14ac:dyDescent="0.3">
      <c r="U527" s="1" t="s">
        <v>842</v>
      </c>
      <c r="V527" s="1"/>
    </row>
    <row r="528" spans="21:22" x14ac:dyDescent="0.3">
      <c r="U528" s="1" t="s">
        <v>843</v>
      </c>
      <c r="V528" s="1"/>
    </row>
    <row r="529" spans="21:22" x14ac:dyDescent="0.3">
      <c r="U529" s="1" t="s">
        <v>844</v>
      </c>
      <c r="V529" s="1"/>
    </row>
    <row r="530" spans="21:22" x14ac:dyDescent="0.3">
      <c r="U530" s="1" t="s">
        <v>845</v>
      </c>
      <c r="V530" s="1"/>
    </row>
    <row r="531" spans="21:22" x14ac:dyDescent="0.3">
      <c r="U531" s="1" t="s">
        <v>846</v>
      </c>
      <c r="V531" s="1"/>
    </row>
    <row r="532" spans="21:22" x14ac:dyDescent="0.3">
      <c r="U532" s="1" t="s">
        <v>847</v>
      </c>
      <c r="V532" s="1"/>
    </row>
    <row r="533" spans="21:22" x14ac:dyDescent="0.3">
      <c r="U533" s="1" t="s">
        <v>848</v>
      </c>
      <c r="V533" s="1"/>
    </row>
    <row r="534" spans="21:22" x14ac:dyDescent="0.3">
      <c r="U534" s="1" t="s">
        <v>849</v>
      </c>
      <c r="V534" s="1"/>
    </row>
    <row r="535" spans="21:22" x14ac:dyDescent="0.3">
      <c r="U535" s="1" t="s">
        <v>850</v>
      </c>
      <c r="V535" s="1"/>
    </row>
    <row r="536" spans="21:22" x14ac:dyDescent="0.3">
      <c r="U536" s="1" t="s">
        <v>851</v>
      </c>
      <c r="V536" s="1"/>
    </row>
    <row r="537" spans="21:22" x14ac:dyDescent="0.3">
      <c r="U537" s="1" t="s">
        <v>852</v>
      </c>
      <c r="V537" s="1"/>
    </row>
    <row r="538" spans="21:22" x14ac:dyDescent="0.3">
      <c r="U538" s="1" t="s">
        <v>853</v>
      </c>
      <c r="V538" s="1"/>
    </row>
    <row r="539" spans="21:22" x14ac:dyDescent="0.3">
      <c r="U539" s="1" t="s">
        <v>854</v>
      </c>
      <c r="V539" s="1"/>
    </row>
    <row r="540" spans="21:22" x14ac:dyDescent="0.3">
      <c r="U540" s="1" t="s">
        <v>855</v>
      </c>
      <c r="V540" s="1"/>
    </row>
    <row r="541" spans="21:22" x14ac:dyDescent="0.3">
      <c r="U541" s="1" t="s">
        <v>856</v>
      </c>
      <c r="V541" s="1"/>
    </row>
    <row r="542" spans="21:22" x14ac:dyDescent="0.3">
      <c r="U542" s="1" t="s">
        <v>857</v>
      </c>
      <c r="V542" s="1"/>
    </row>
    <row r="543" spans="21:22" x14ac:dyDescent="0.3">
      <c r="U543" s="1" t="s">
        <v>858</v>
      </c>
      <c r="V543" s="1"/>
    </row>
    <row r="544" spans="21:22" x14ac:dyDescent="0.3">
      <c r="U544" s="1" t="s">
        <v>859</v>
      </c>
      <c r="V544" s="1"/>
    </row>
    <row r="545" spans="21:22" x14ac:dyDescent="0.3">
      <c r="U545" s="1" t="s">
        <v>860</v>
      </c>
      <c r="V545" s="1"/>
    </row>
    <row r="546" spans="21:22" x14ac:dyDescent="0.3">
      <c r="U546" s="1" t="s">
        <v>861</v>
      </c>
      <c r="V546" s="1"/>
    </row>
    <row r="547" spans="21:22" x14ac:dyDescent="0.3">
      <c r="U547" s="1" t="s">
        <v>862</v>
      </c>
      <c r="V547" s="1"/>
    </row>
    <row r="548" spans="21:22" x14ac:dyDescent="0.3">
      <c r="U548" s="1" t="s">
        <v>863</v>
      </c>
      <c r="V548" s="1"/>
    </row>
    <row r="549" spans="21:22" x14ac:dyDescent="0.3">
      <c r="U549" s="1" t="s">
        <v>864</v>
      </c>
      <c r="V549" s="1"/>
    </row>
    <row r="550" spans="21:22" x14ac:dyDescent="0.3">
      <c r="U550" s="1" t="s">
        <v>865</v>
      </c>
      <c r="V550" s="1"/>
    </row>
    <row r="551" spans="21:22" x14ac:dyDescent="0.3">
      <c r="U551" s="1" t="s">
        <v>866</v>
      </c>
      <c r="V551" s="1"/>
    </row>
    <row r="552" spans="21:22" x14ac:dyDescent="0.3">
      <c r="U552" s="1" t="s">
        <v>867</v>
      </c>
      <c r="V552" s="1"/>
    </row>
    <row r="553" spans="21:22" x14ac:dyDescent="0.3">
      <c r="U553" s="1" t="s">
        <v>868</v>
      </c>
      <c r="V553" s="1"/>
    </row>
    <row r="554" spans="21:22" x14ac:dyDescent="0.3">
      <c r="U554" s="1" t="s">
        <v>869</v>
      </c>
      <c r="V554" s="1"/>
    </row>
    <row r="555" spans="21:22" x14ac:dyDescent="0.3">
      <c r="U555" s="1" t="s">
        <v>870</v>
      </c>
      <c r="V555" s="1"/>
    </row>
    <row r="556" spans="21:22" x14ac:dyDescent="0.3">
      <c r="U556" s="1" t="s">
        <v>871</v>
      </c>
      <c r="V556" s="1"/>
    </row>
    <row r="557" spans="21:22" x14ac:dyDescent="0.3">
      <c r="U557" s="1" t="s">
        <v>872</v>
      </c>
      <c r="V557" s="1"/>
    </row>
    <row r="558" spans="21:22" x14ac:dyDescent="0.3">
      <c r="U558" s="1" t="s">
        <v>873</v>
      </c>
      <c r="V558" s="1"/>
    </row>
    <row r="559" spans="21:22" x14ac:dyDescent="0.3">
      <c r="U559" s="1" t="s">
        <v>874</v>
      </c>
      <c r="V559" s="1"/>
    </row>
    <row r="560" spans="21:22" x14ac:dyDescent="0.3">
      <c r="U560" s="1" t="s">
        <v>875</v>
      </c>
      <c r="V560" s="1"/>
    </row>
    <row r="561" spans="21:22" x14ac:dyDescent="0.3">
      <c r="U561" s="1" t="s">
        <v>876</v>
      </c>
      <c r="V561" s="1"/>
    </row>
    <row r="562" spans="21:22" x14ac:dyDescent="0.3">
      <c r="U562" s="1" t="s">
        <v>877</v>
      </c>
      <c r="V562" s="1"/>
    </row>
    <row r="563" spans="21:22" x14ac:dyDescent="0.3">
      <c r="U563" s="1" t="s">
        <v>878</v>
      </c>
      <c r="V563" s="1"/>
    </row>
    <row r="564" spans="21:22" x14ac:dyDescent="0.3">
      <c r="U564" s="1" t="s">
        <v>879</v>
      </c>
      <c r="V564" s="1"/>
    </row>
    <row r="565" spans="21:22" x14ac:dyDescent="0.3">
      <c r="U565" s="1" t="s">
        <v>880</v>
      </c>
      <c r="V565" s="1"/>
    </row>
    <row r="566" spans="21:22" x14ac:dyDescent="0.3">
      <c r="U566" s="1" t="s">
        <v>881</v>
      </c>
      <c r="V566" s="1"/>
    </row>
    <row r="567" spans="21:22" x14ac:dyDescent="0.3">
      <c r="U567" s="1" t="s">
        <v>882</v>
      </c>
      <c r="V567" s="1"/>
    </row>
    <row r="568" spans="21:22" x14ac:dyDescent="0.3">
      <c r="U568" s="1" t="s">
        <v>883</v>
      </c>
      <c r="V568" s="1"/>
    </row>
    <row r="569" spans="21:22" x14ac:dyDescent="0.3">
      <c r="U569" s="1" t="s">
        <v>884</v>
      </c>
      <c r="V569" s="1"/>
    </row>
    <row r="570" spans="21:22" x14ac:dyDescent="0.3">
      <c r="U570" s="1" t="s">
        <v>885</v>
      </c>
      <c r="V570" s="1"/>
    </row>
    <row r="571" spans="21:22" x14ac:dyDescent="0.3">
      <c r="U571" s="1" t="s">
        <v>886</v>
      </c>
      <c r="V571" s="1"/>
    </row>
    <row r="572" spans="21:22" x14ac:dyDescent="0.3">
      <c r="U572" s="1" t="s">
        <v>887</v>
      </c>
      <c r="V572" s="1"/>
    </row>
    <row r="573" spans="21:22" x14ac:dyDescent="0.3">
      <c r="U573" s="1" t="s">
        <v>888</v>
      </c>
      <c r="V573" s="1"/>
    </row>
    <row r="574" spans="21:22" x14ac:dyDescent="0.3">
      <c r="U574" s="1" t="s">
        <v>889</v>
      </c>
      <c r="V574" s="1"/>
    </row>
    <row r="575" spans="21:22" x14ac:dyDescent="0.3">
      <c r="U575" s="1" t="s">
        <v>890</v>
      </c>
      <c r="V575" s="1"/>
    </row>
    <row r="576" spans="21:22" x14ac:dyDescent="0.3">
      <c r="U576" s="1" t="s">
        <v>891</v>
      </c>
      <c r="V576" s="1"/>
    </row>
    <row r="577" spans="21:22" x14ac:dyDescent="0.3">
      <c r="U577" s="1" t="s">
        <v>892</v>
      </c>
      <c r="V577" s="1"/>
    </row>
    <row r="578" spans="21:22" x14ac:dyDescent="0.3">
      <c r="U578" s="1" t="s">
        <v>893</v>
      </c>
      <c r="V578" s="1"/>
    </row>
    <row r="579" spans="21:22" x14ac:dyDescent="0.3">
      <c r="U579" s="1" t="s">
        <v>894</v>
      </c>
      <c r="V579" s="1"/>
    </row>
    <row r="580" spans="21:22" x14ac:dyDescent="0.3">
      <c r="U580" s="1" t="s">
        <v>895</v>
      </c>
      <c r="V580" s="1"/>
    </row>
    <row r="581" spans="21:22" x14ac:dyDescent="0.3">
      <c r="U581" s="1" t="s">
        <v>896</v>
      </c>
      <c r="V581" s="1"/>
    </row>
    <row r="582" spans="21:22" x14ac:dyDescent="0.3">
      <c r="U582" s="1" t="s">
        <v>897</v>
      </c>
      <c r="V582" s="1"/>
    </row>
    <row r="583" spans="21:22" x14ac:dyDescent="0.3">
      <c r="U583" s="1" t="s">
        <v>898</v>
      </c>
      <c r="V583" s="1"/>
    </row>
    <row r="584" spans="21:22" x14ac:dyDescent="0.3">
      <c r="U584" s="1" t="s">
        <v>899</v>
      </c>
      <c r="V584" s="1"/>
    </row>
    <row r="585" spans="21:22" x14ac:dyDescent="0.3">
      <c r="U585" s="1" t="s">
        <v>900</v>
      </c>
      <c r="V585" s="1"/>
    </row>
    <row r="586" spans="21:22" x14ac:dyDescent="0.3">
      <c r="U586" s="1" t="s">
        <v>901</v>
      </c>
      <c r="V586" s="1"/>
    </row>
    <row r="587" spans="21:22" x14ac:dyDescent="0.3">
      <c r="U587" s="1" t="s">
        <v>902</v>
      </c>
      <c r="V587" s="1"/>
    </row>
    <row r="588" spans="21:22" x14ac:dyDescent="0.3">
      <c r="U588" s="1" t="s">
        <v>903</v>
      </c>
      <c r="V588" s="1"/>
    </row>
    <row r="589" spans="21:22" x14ac:dyDescent="0.3">
      <c r="U589" s="1" t="s">
        <v>904</v>
      </c>
      <c r="V589" s="1"/>
    </row>
    <row r="590" spans="21:22" x14ac:dyDescent="0.3">
      <c r="U590" s="1" t="s">
        <v>905</v>
      </c>
      <c r="V590" s="1"/>
    </row>
    <row r="591" spans="21:22" x14ac:dyDescent="0.3">
      <c r="U591" s="1" t="s">
        <v>906</v>
      </c>
      <c r="V591" s="1"/>
    </row>
    <row r="592" spans="21:22" x14ac:dyDescent="0.3">
      <c r="U592" s="1" t="s">
        <v>907</v>
      </c>
      <c r="V592" s="1"/>
    </row>
    <row r="593" spans="21:22" x14ac:dyDescent="0.3">
      <c r="U593" s="1" t="s">
        <v>908</v>
      </c>
      <c r="V593" s="1"/>
    </row>
    <row r="594" spans="21:22" x14ac:dyDescent="0.3">
      <c r="U594" s="1" t="s">
        <v>909</v>
      </c>
      <c r="V594" s="1"/>
    </row>
    <row r="595" spans="21:22" x14ac:dyDescent="0.3">
      <c r="U595" s="1" t="s">
        <v>910</v>
      </c>
      <c r="V595" s="1"/>
    </row>
    <row r="596" spans="21:22" x14ac:dyDescent="0.3">
      <c r="U596" s="1" t="s">
        <v>911</v>
      </c>
      <c r="V596" s="1"/>
    </row>
    <row r="597" spans="21:22" x14ac:dyDescent="0.3">
      <c r="U597" s="1" t="s">
        <v>912</v>
      </c>
      <c r="V597" s="1"/>
    </row>
    <row r="598" spans="21:22" x14ac:dyDescent="0.3">
      <c r="U598" s="1" t="s">
        <v>913</v>
      </c>
      <c r="V598" s="1"/>
    </row>
    <row r="599" spans="21:22" x14ac:dyDescent="0.3">
      <c r="U599" s="1" t="s">
        <v>914</v>
      </c>
      <c r="V599" s="1"/>
    </row>
    <row r="600" spans="21:22" x14ac:dyDescent="0.3">
      <c r="U600" s="1" t="s">
        <v>915</v>
      </c>
      <c r="V600" s="1"/>
    </row>
    <row r="601" spans="21:22" x14ac:dyDescent="0.3">
      <c r="U601" s="1" t="s">
        <v>916</v>
      </c>
      <c r="V601" s="1"/>
    </row>
    <row r="602" spans="21:22" x14ac:dyDescent="0.3">
      <c r="U602" s="1" t="s">
        <v>917</v>
      </c>
      <c r="V602" s="1"/>
    </row>
    <row r="603" spans="21:22" x14ac:dyDescent="0.3">
      <c r="U603" s="1" t="s">
        <v>918</v>
      </c>
      <c r="V603" s="1"/>
    </row>
    <row r="604" spans="21:22" x14ac:dyDescent="0.3">
      <c r="U604" s="1" t="s">
        <v>919</v>
      </c>
      <c r="V604" s="1"/>
    </row>
    <row r="605" spans="21:22" x14ac:dyDescent="0.3">
      <c r="U605" s="1" t="s">
        <v>920</v>
      </c>
      <c r="V605" s="1"/>
    </row>
    <row r="606" spans="21:22" x14ac:dyDescent="0.3">
      <c r="U606" s="1" t="s">
        <v>921</v>
      </c>
      <c r="V606" s="1"/>
    </row>
    <row r="607" spans="21:22" x14ac:dyDescent="0.3">
      <c r="U607" s="1" t="s">
        <v>922</v>
      </c>
      <c r="V607" s="1"/>
    </row>
    <row r="608" spans="21:22" x14ac:dyDescent="0.3">
      <c r="U608" s="1" t="s">
        <v>923</v>
      </c>
      <c r="V608" s="1"/>
    </row>
    <row r="609" spans="21:22" x14ac:dyDescent="0.3">
      <c r="U609" s="1" t="s">
        <v>924</v>
      </c>
      <c r="V609" s="1"/>
    </row>
    <row r="610" spans="21:22" x14ac:dyDescent="0.3">
      <c r="U610" s="1" t="s">
        <v>925</v>
      </c>
      <c r="V610" s="1"/>
    </row>
    <row r="611" spans="21:22" x14ac:dyDescent="0.3">
      <c r="U611" s="1" t="s">
        <v>926</v>
      </c>
      <c r="V611" s="1"/>
    </row>
    <row r="612" spans="21:22" x14ac:dyDescent="0.3">
      <c r="U612" s="1" t="s">
        <v>927</v>
      </c>
      <c r="V612" s="1"/>
    </row>
    <row r="613" spans="21:22" x14ac:dyDescent="0.3">
      <c r="U613" s="1" t="s">
        <v>928</v>
      </c>
      <c r="V613" s="1"/>
    </row>
    <row r="614" spans="21:22" x14ac:dyDescent="0.3">
      <c r="U614" s="1" t="s">
        <v>929</v>
      </c>
      <c r="V614" s="1"/>
    </row>
    <row r="615" spans="21:22" x14ac:dyDescent="0.3">
      <c r="U615" s="1" t="s">
        <v>930</v>
      </c>
      <c r="V615" s="1"/>
    </row>
    <row r="616" spans="21:22" x14ac:dyDescent="0.3">
      <c r="U616" s="1" t="s">
        <v>931</v>
      </c>
      <c r="V616" s="1"/>
    </row>
    <row r="617" spans="21:22" x14ac:dyDescent="0.3">
      <c r="U617" s="1" t="s">
        <v>932</v>
      </c>
      <c r="V617" s="1"/>
    </row>
    <row r="618" spans="21:22" x14ac:dyDescent="0.3">
      <c r="U618" s="1" t="s">
        <v>933</v>
      </c>
      <c r="V618" s="1"/>
    </row>
    <row r="619" spans="21:22" x14ac:dyDescent="0.3">
      <c r="U619" s="1" t="s">
        <v>934</v>
      </c>
      <c r="V619" s="1"/>
    </row>
    <row r="620" spans="21:22" x14ac:dyDescent="0.3">
      <c r="U620" s="1" t="s">
        <v>935</v>
      </c>
      <c r="V620" s="1"/>
    </row>
    <row r="621" spans="21:22" x14ac:dyDescent="0.3">
      <c r="U621" s="1" t="s">
        <v>936</v>
      </c>
      <c r="V621" s="1"/>
    </row>
    <row r="622" spans="21:22" x14ac:dyDescent="0.3">
      <c r="U622" s="1" t="s">
        <v>937</v>
      </c>
      <c r="V622" s="1"/>
    </row>
    <row r="623" spans="21:22" x14ac:dyDescent="0.3">
      <c r="U623" s="1" t="s">
        <v>938</v>
      </c>
      <c r="V623" s="1"/>
    </row>
    <row r="624" spans="21:22" x14ac:dyDescent="0.3">
      <c r="U624" s="1" t="s">
        <v>939</v>
      </c>
      <c r="V624" s="1"/>
    </row>
    <row r="625" spans="21:22" x14ac:dyDescent="0.3">
      <c r="U625" s="1" t="s">
        <v>940</v>
      </c>
      <c r="V625" s="1"/>
    </row>
    <row r="626" spans="21:22" x14ac:dyDescent="0.3">
      <c r="U626" s="1" t="s">
        <v>941</v>
      </c>
      <c r="V626" s="1"/>
    </row>
    <row r="627" spans="21:22" x14ac:dyDescent="0.3">
      <c r="U627" s="1" t="s">
        <v>942</v>
      </c>
      <c r="V627" s="1"/>
    </row>
    <row r="628" spans="21:22" x14ac:dyDescent="0.3">
      <c r="U628" s="1" t="s">
        <v>943</v>
      </c>
      <c r="V628" s="1"/>
    </row>
    <row r="629" spans="21:22" x14ac:dyDescent="0.3">
      <c r="U629" s="1" t="s">
        <v>944</v>
      </c>
      <c r="V629" s="1"/>
    </row>
    <row r="630" spans="21:22" x14ac:dyDescent="0.3">
      <c r="U630" s="1" t="s">
        <v>945</v>
      </c>
      <c r="V630" s="1"/>
    </row>
    <row r="631" spans="21:22" x14ac:dyDescent="0.3">
      <c r="U631" s="1" t="s">
        <v>946</v>
      </c>
      <c r="V631" s="1"/>
    </row>
    <row r="632" spans="21:22" x14ac:dyDescent="0.3">
      <c r="U632" s="1" t="s">
        <v>947</v>
      </c>
      <c r="V632" s="1"/>
    </row>
    <row r="633" spans="21:22" x14ac:dyDescent="0.3">
      <c r="U633" s="1" t="s">
        <v>948</v>
      </c>
      <c r="V633" s="1"/>
    </row>
    <row r="634" spans="21:22" x14ac:dyDescent="0.3">
      <c r="U634" s="1" t="s">
        <v>949</v>
      </c>
      <c r="V634" s="1"/>
    </row>
    <row r="635" spans="21:22" x14ac:dyDescent="0.3">
      <c r="U635" s="1" t="s">
        <v>950</v>
      </c>
      <c r="V635" s="1"/>
    </row>
    <row r="636" spans="21:22" x14ac:dyDescent="0.3">
      <c r="U636" s="1" t="s">
        <v>951</v>
      </c>
      <c r="V636" s="1"/>
    </row>
    <row r="637" spans="21:22" x14ac:dyDescent="0.3">
      <c r="U637" s="1" t="s">
        <v>952</v>
      </c>
      <c r="V637" s="1"/>
    </row>
    <row r="638" spans="21:22" x14ac:dyDescent="0.3">
      <c r="U638" s="1" t="s">
        <v>953</v>
      </c>
      <c r="V638" s="1"/>
    </row>
    <row r="639" spans="21:22" x14ac:dyDescent="0.3">
      <c r="U639" s="1" t="s">
        <v>954</v>
      </c>
      <c r="V639" s="1"/>
    </row>
    <row r="640" spans="21:22" x14ac:dyDescent="0.3">
      <c r="U640" s="1" t="s">
        <v>955</v>
      </c>
      <c r="V640" s="1"/>
    </row>
    <row r="641" spans="21:22" x14ac:dyDescent="0.3">
      <c r="U641" s="1" t="s">
        <v>956</v>
      </c>
      <c r="V641" s="1"/>
    </row>
    <row r="642" spans="21:22" x14ac:dyDescent="0.3">
      <c r="U642" s="1" t="s">
        <v>957</v>
      </c>
      <c r="V642" s="1"/>
    </row>
    <row r="643" spans="21:22" x14ac:dyDescent="0.3">
      <c r="U643" s="1" t="s">
        <v>958</v>
      </c>
      <c r="V643" s="1"/>
    </row>
    <row r="644" spans="21:22" x14ac:dyDescent="0.3">
      <c r="U644" s="1" t="s">
        <v>959</v>
      </c>
      <c r="V644" s="1"/>
    </row>
    <row r="645" spans="21:22" x14ac:dyDescent="0.3">
      <c r="U645" s="1" t="s">
        <v>960</v>
      </c>
      <c r="V645" s="1"/>
    </row>
    <row r="646" spans="21:22" x14ac:dyDescent="0.3">
      <c r="U646" s="1" t="s">
        <v>961</v>
      </c>
      <c r="V646" s="1"/>
    </row>
    <row r="647" spans="21:22" x14ac:dyDescent="0.3">
      <c r="U647" s="1" t="s">
        <v>962</v>
      </c>
      <c r="V647" s="1"/>
    </row>
    <row r="648" spans="21:22" x14ac:dyDescent="0.3">
      <c r="U648" s="1" t="s">
        <v>963</v>
      </c>
      <c r="V648" s="1"/>
    </row>
    <row r="649" spans="21:22" x14ac:dyDescent="0.3">
      <c r="U649" s="1" t="s">
        <v>964</v>
      </c>
      <c r="V649" s="1"/>
    </row>
    <row r="650" spans="21:22" x14ac:dyDescent="0.3">
      <c r="U650" s="1" t="s">
        <v>965</v>
      </c>
      <c r="V650" s="1"/>
    </row>
    <row r="651" spans="21:22" x14ac:dyDescent="0.3">
      <c r="U651" s="1" t="s">
        <v>966</v>
      </c>
      <c r="V651" s="1"/>
    </row>
    <row r="652" spans="21:22" x14ac:dyDescent="0.3">
      <c r="U652" s="1" t="s">
        <v>967</v>
      </c>
      <c r="V652" s="1"/>
    </row>
    <row r="653" spans="21:22" x14ac:dyDescent="0.3">
      <c r="U653" s="1" t="s">
        <v>968</v>
      </c>
      <c r="V653" s="1"/>
    </row>
    <row r="654" spans="21:22" x14ac:dyDescent="0.3">
      <c r="U654" s="1" t="s">
        <v>969</v>
      </c>
      <c r="V654" s="1"/>
    </row>
    <row r="655" spans="21:22" x14ac:dyDescent="0.3">
      <c r="U655" s="1" t="s">
        <v>970</v>
      </c>
      <c r="V655" s="1"/>
    </row>
    <row r="656" spans="21:22" x14ac:dyDescent="0.3">
      <c r="U656" s="1" t="s">
        <v>971</v>
      </c>
      <c r="V656" s="1"/>
    </row>
    <row r="657" spans="21:22" x14ac:dyDescent="0.3">
      <c r="U657" s="1" t="s">
        <v>972</v>
      </c>
      <c r="V657" s="1"/>
    </row>
    <row r="658" spans="21:22" x14ac:dyDescent="0.3">
      <c r="U658" s="1" t="s">
        <v>973</v>
      </c>
      <c r="V658" s="1"/>
    </row>
    <row r="659" spans="21:22" x14ac:dyDescent="0.3">
      <c r="U659" s="1" t="s">
        <v>974</v>
      </c>
      <c r="V659" s="1"/>
    </row>
    <row r="660" spans="21:22" x14ac:dyDescent="0.3">
      <c r="U660" s="1" t="s">
        <v>975</v>
      </c>
      <c r="V660" s="1"/>
    </row>
    <row r="661" spans="21:22" x14ac:dyDescent="0.3">
      <c r="U661" s="1" t="s">
        <v>976</v>
      </c>
      <c r="V661" s="1"/>
    </row>
    <row r="662" spans="21:22" x14ac:dyDescent="0.3">
      <c r="U662" s="1" t="s">
        <v>977</v>
      </c>
      <c r="V662" s="1"/>
    </row>
    <row r="663" spans="21:22" x14ac:dyDescent="0.3">
      <c r="U663" s="1" t="s">
        <v>978</v>
      </c>
      <c r="V663" s="1"/>
    </row>
    <row r="664" spans="21:22" x14ac:dyDescent="0.3">
      <c r="U664" s="1" t="s">
        <v>979</v>
      </c>
      <c r="V664" s="1"/>
    </row>
    <row r="665" spans="21:22" x14ac:dyDescent="0.3">
      <c r="U665" s="1" t="s">
        <v>980</v>
      </c>
      <c r="V665" s="1"/>
    </row>
    <row r="666" spans="21:22" x14ac:dyDescent="0.3">
      <c r="U666" s="1" t="s">
        <v>981</v>
      </c>
      <c r="V666" s="1"/>
    </row>
    <row r="667" spans="21:22" x14ac:dyDescent="0.3">
      <c r="U667" s="1" t="s">
        <v>982</v>
      </c>
      <c r="V667" s="1"/>
    </row>
    <row r="668" spans="21:22" x14ac:dyDescent="0.3">
      <c r="U668" s="1" t="s">
        <v>983</v>
      </c>
      <c r="V668" s="1"/>
    </row>
    <row r="669" spans="21:22" x14ac:dyDescent="0.3">
      <c r="U669" s="1" t="s">
        <v>984</v>
      </c>
      <c r="V669" s="1"/>
    </row>
    <row r="670" spans="21:22" x14ac:dyDescent="0.3">
      <c r="U670" s="1" t="s">
        <v>985</v>
      </c>
      <c r="V670" s="1"/>
    </row>
    <row r="671" spans="21:22" x14ac:dyDescent="0.3">
      <c r="U671" s="1" t="s">
        <v>986</v>
      </c>
      <c r="V671" s="1"/>
    </row>
    <row r="672" spans="21:22" x14ac:dyDescent="0.3">
      <c r="U672" s="1" t="s">
        <v>987</v>
      </c>
      <c r="V672" s="1"/>
    </row>
    <row r="673" spans="21:22" x14ac:dyDescent="0.3">
      <c r="U673" s="1" t="s">
        <v>988</v>
      </c>
      <c r="V673" s="1"/>
    </row>
    <row r="674" spans="21:22" x14ac:dyDescent="0.3">
      <c r="U674" s="1" t="s">
        <v>989</v>
      </c>
      <c r="V674" s="1"/>
    </row>
    <row r="675" spans="21:22" x14ac:dyDescent="0.3">
      <c r="U675" s="1" t="s">
        <v>990</v>
      </c>
      <c r="V675" s="1"/>
    </row>
    <row r="676" spans="21:22" x14ac:dyDescent="0.3">
      <c r="U676" s="1" t="s">
        <v>991</v>
      </c>
      <c r="V676" s="1"/>
    </row>
    <row r="677" spans="21:22" x14ac:dyDescent="0.3">
      <c r="U677" s="1" t="s">
        <v>992</v>
      </c>
      <c r="V677" s="1"/>
    </row>
    <row r="678" spans="21:22" x14ac:dyDescent="0.3">
      <c r="U678" s="1" t="s">
        <v>993</v>
      </c>
      <c r="V678" s="1"/>
    </row>
    <row r="679" spans="21:22" x14ac:dyDescent="0.3">
      <c r="U679" s="1" t="s">
        <v>994</v>
      </c>
      <c r="V679" s="1"/>
    </row>
    <row r="680" spans="21:22" x14ac:dyDescent="0.3">
      <c r="U680" s="1" t="s">
        <v>995</v>
      </c>
      <c r="V680" s="1"/>
    </row>
    <row r="681" spans="21:22" x14ac:dyDescent="0.3">
      <c r="U681" s="1" t="s">
        <v>996</v>
      </c>
      <c r="V681" s="1"/>
    </row>
    <row r="682" spans="21:22" x14ac:dyDescent="0.3">
      <c r="U682" s="1" t="s">
        <v>997</v>
      </c>
      <c r="V682" s="1"/>
    </row>
    <row r="683" spans="21:22" x14ac:dyDescent="0.3">
      <c r="U683" s="1" t="s">
        <v>998</v>
      </c>
      <c r="V683" s="1"/>
    </row>
    <row r="684" spans="21:22" x14ac:dyDescent="0.3">
      <c r="U684" s="1" t="s">
        <v>999</v>
      </c>
      <c r="V684" s="1"/>
    </row>
    <row r="685" spans="21:22" x14ac:dyDescent="0.3">
      <c r="U685" s="1" t="s">
        <v>1000</v>
      </c>
      <c r="V685" s="1"/>
    </row>
    <row r="686" spans="21:22" x14ac:dyDescent="0.3">
      <c r="U686" s="1" t="s">
        <v>1001</v>
      </c>
      <c r="V686" s="1"/>
    </row>
    <row r="687" spans="21:22" x14ac:dyDescent="0.3">
      <c r="U687" s="1" t="s">
        <v>1002</v>
      </c>
      <c r="V687" s="1"/>
    </row>
    <row r="688" spans="21:22" x14ac:dyDescent="0.3">
      <c r="U688" s="1" t="s">
        <v>1003</v>
      </c>
      <c r="V688" s="1"/>
    </row>
    <row r="689" spans="21:22" x14ac:dyDescent="0.3">
      <c r="U689" s="1" t="s">
        <v>1004</v>
      </c>
      <c r="V689" s="1"/>
    </row>
    <row r="690" spans="21:22" x14ac:dyDescent="0.3">
      <c r="U690" s="1" t="s">
        <v>1005</v>
      </c>
      <c r="V690" s="1"/>
    </row>
    <row r="691" spans="21:22" x14ac:dyDescent="0.3">
      <c r="U691" s="1" t="s">
        <v>1006</v>
      </c>
      <c r="V691" s="1"/>
    </row>
    <row r="692" spans="21:22" x14ac:dyDescent="0.3">
      <c r="U692" s="1" t="s">
        <v>1007</v>
      </c>
      <c r="V692" s="1"/>
    </row>
    <row r="693" spans="21:22" x14ac:dyDescent="0.3">
      <c r="U693" s="1" t="s">
        <v>1008</v>
      </c>
      <c r="V693" s="1"/>
    </row>
    <row r="694" spans="21:22" x14ac:dyDescent="0.3">
      <c r="U694" s="1" t="s">
        <v>1009</v>
      </c>
      <c r="V694" s="1"/>
    </row>
    <row r="695" spans="21:22" x14ac:dyDescent="0.3">
      <c r="U695" s="1" t="s">
        <v>1010</v>
      </c>
      <c r="V695" s="1"/>
    </row>
    <row r="696" spans="21:22" x14ac:dyDescent="0.3">
      <c r="U696" s="1" t="s">
        <v>1011</v>
      </c>
      <c r="V696" s="1"/>
    </row>
    <row r="697" spans="21:22" x14ac:dyDescent="0.3">
      <c r="U697" s="1" t="s">
        <v>1012</v>
      </c>
      <c r="V697" s="1"/>
    </row>
    <row r="698" spans="21:22" x14ac:dyDescent="0.3">
      <c r="U698" s="1" t="s">
        <v>1013</v>
      </c>
      <c r="V698" s="1"/>
    </row>
    <row r="699" spans="21:22" x14ac:dyDescent="0.3">
      <c r="U699" s="1" t="s">
        <v>1014</v>
      </c>
      <c r="V699" s="1"/>
    </row>
    <row r="700" spans="21:22" x14ac:dyDescent="0.3">
      <c r="U700" s="1" t="s">
        <v>1015</v>
      </c>
      <c r="V700" s="1"/>
    </row>
    <row r="701" spans="21:22" x14ac:dyDescent="0.3">
      <c r="U701" s="1" t="s">
        <v>1016</v>
      </c>
      <c r="V701" s="1"/>
    </row>
    <row r="702" spans="21:22" x14ac:dyDescent="0.3">
      <c r="U702" s="1" t="s">
        <v>1017</v>
      </c>
      <c r="V702" s="1"/>
    </row>
    <row r="703" spans="21:22" x14ac:dyDescent="0.3">
      <c r="U703" s="1" t="s">
        <v>1018</v>
      </c>
      <c r="V703" s="1"/>
    </row>
    <row r="704" spans="21:22" x14ac:dyDescent="0.3">
      <c r="U704" s="1" t="s">
        <v>1019</v>
      </c>
      <c r="V704" s="1"/>
    </row>
    <row r="705" spans="21:22" x14ac:dyDescent="0.3">
      <c r="U705" s="1" t="s">
        <v>1020</v>
      </c>
      <c r="V705" s="1"/>
    </row>
    <row r="706" spans="21:22" x14ac:dyDescent="0.3">
      <c r="U706" s="1" t="s">
        <v>1021</v>
      </c>
      <c r="V706" s="1"/>
    </row>
    <row r="707" spans="21:22" x14ac:dyDescent="0.3">
      <c r="U707" s="1" t="s">
        <v>1022</v>
      </c>
      <c r="V707" s="1"/>
    </row>
    <row r="708" spans="21:22" x14ac:dyDescent="0.3">
      <c r="U708" s="1" t="s">
        <v>1023</v>
      </c>
      <c r="V708" s="1"/>
    </row>
    <row r="709" spans="21:22" x14ac:dyDescent="0.3">
      <c r="U709" s="1" t="s">
        <v>1024</v>
      </c>
      <c r="V709" s="1"/>
    </row>
    <row r="710" spans="21:22" x14ac:dyDescent="0.3">
      <c r="U710" s="1" t="s">
        <v>1025</v>
      </c>
      <c r="V710" s="1"/>
    </row>
    <row r="711" spans="21:22" x14ac:dyDescent="0.3">
      <c r="U711" s="1" t="s">
        <v>1026</v>
      </c>
      <c r="V711" s="1"/>
    </row>
    <row r="712" spans="21:22" x14ac:dyDescent="0.3">
      <c r="U712" s="1" t="s">
        <v>1027</v>
      </c>
      <c r="V712" s="1"/>
    </row>
    <row r="713" spans="21:22" x14ac:dyDescent="0.3">
      <c r="U713" s="1" t="s">
        <v>1028</v>
      </c>
      <c r="V713" s="1"/>
    </row>
    <row r="714" spans="21:22" x14ac:dyDescent="0.3">
      <c r="U714" s="1" t="s">
        <v>1029</v>
      </c>
      <c r="V714" s="1"/>
    </row>
    <row r="715" spans="21:22" x14ac:dyDescent="0.3">
      <c r="U715" s="1" t="s">
        <v>1030</v>
      </c>
      <c r="V715" s="1"/>
    </row>
    <row r="716" spans="21:22" x14ac:dyDescent="0.3">
      <c r="U716" s="1" t="s">
        <v>1031</v>
      </c>
      <c r="V716" s="1"/>
    </row>
    <row r="717" spans="21:22" x14ac:dyDescent="0.3">
      <c r="U717" s="1" t="s">
        <v>1032</v>
      </c>
      <c r="V717" s="1"/>
    </row>
    <row r="718" spans="21:22" x14ac:dyDescent="0.3">
      <c r="U718" s="1" t="s">
        <v>1033</v>
      </c>
      <c r="V718" s="1"/>
    </row>
    <row r="719" spans="21:22" x14ac:dyDescent="0.3">
      <c r="U719" s="1" t="s">
        <v>1034</v>
      </c>
      <c r="V719" s="1"/>
    </row>
    <row r="720" spans="21:22" x14ac:dyDescent="0.3">
      <c r="U720" s="1" t="s">
        <v>1035</v>
      </c>
      <c r="V720" s="1"/>
    </row>
    <row r="721" spans="21:22" x14ac:dyDescent="0.3">
      <c r="U721" s="1" t="s">
        <v>1036</v>
      </c>
      <c r="V721" s="1"/>
    </row>
    <row r="722" spans="21:22" x14ac:dyDescent="0.3">
      <c r="U722" s="1" t="s">
        <v>1037</v>
      </c>
      <c r="V722" s="1"/>
    </row>
    <row r="723" spans="21:22" x14ac:dyDescent="0.3">
      <c r="U723" s="1" t="s">
        <v>1038</v>
      </c>
      <c r="V723" s="1"/>
    </row>
    <row r="724" spans="21:22" x14ac:dyDescent="0.3">
      <c r="U724" s="1" t="s">
        <v>1039</v>
      </c>
      <c r="V724" s="1"/>
    </row>
    <row r="725" spans="21:22" x14ac:dyDescent="0.3">
      <c r="U725" s="1" t="s">
        <v>1040</v>
      </c>
      <c r="V725" s="1"/>
    </row>
    <row r="726" spans="21:22" x14ac:dyDescent="0.3">
      <c r="U726" s="1" t="s">
        <v>1041</v>
      </c>
      <c r="V726" s="1"/>
    </row>
    <row r="727" spans="21:22" x14ac:dyDescent="0.3">
      <c r="U727" s="1" t="s">
        <v>1042</v>
      </c>
      <c r="V727" s="1"/>
    </row>
    <row r="728" spans="21:22" x14ac:dyDescent="0.3">
      <c r="U728" s="1" t="s">
        <v>1043</v>
      </c>
      <c r="V728" s="1"/>
    </row>
    <row r="729" spans="21:22" x14ac:dyDescent="0.3">
      <c r="U729" s="1" t="s">
        <v>1044</v>
      </c>
      <c r="V729" s="1"/>
    </row>
    <row r="730" spans="21:22" x14ac:dyDescent="0.3">
      <c r="U730" s="1" t="s">
        <v>1045</v>
      </c>
      <c r="V730" s="1"/>
    </row>
    <row r="731" spans="21:22" x14ac:dyDescent="0.3">
      <c r="U731" s="1" t="s">
        <v>1046</v>
      </c>
      <c r="V731" s="1"/>
    </row>
    <row r="732" spans="21:22" x14ac:dyDescent="0.3">
      <c r="U732" s="1" t="s">
        <v>1047</v>
      </c>
      <c r="V732" s="1"/>
    </row>
    <row r="733" spans="21:22" x14ac:dyDescent="0.3">
      <c r="U733" s="1" t="s">
        <v>1048</v>
      </c>
      <c r="V733" s="1"/>
    </row>
    <row r="734" spans="21:22" x14ac:dyDescent="0.3">
      <c r="U734" s="1" t="s">
        <v>1049</v>
      </c>
      <c r="V734" s="1"/>
    </row>
    <row r="735" spans="21:22" x14ac:dyDescent="0.3">
      <c r="U735" s="1" t="s">
        <v>1050</v>
      </c>
      <c r="V735" s="1"/>
    </row>
    <row r="736" spans="21:22" x14ac:dyDescent="0.3">
      <c r="U736" s="1" t="s">
        <v>1051</v>
      </c>
      <c r="V736" s="1"/>
    </row>
    <row r="737" spans="21:22" x14ac:dyDescent="0.3">
      <c r="U737" s="1" t="s">
        <v>1052</v>
      </c>
      <c r="V737" s="1"/>
    </row>
    <row r="738" spans="21:22" x14ac:dyDescent="0.3">
      <c r="U738" s="1" t="s">
        <v>1053</v>
      </c>
      <c r="V738" s="1"/>
    </row>
    <row r="739" spans="21:22" x14ac:dyDescent="0.3">
      <c r="U739" s="1" t="s">
        <v>1054</v>
      </c>
      <c r="V739" s="1"/>
    </row>
    <row r="740" spans="21:22" x14ac:dyDescent="0.3">
      <c r="U740" s="1" t="s">
        <v>1055</v>
      </c>
      <c r="V740" s="1"/>
    </row>
    <row r="741" spans="21:22" x14ac:dyDescent="0.3">
      <c r="U741" s="1" t="s">
        <v>1056</v>
      </c>
      <c r="V741" s="1"/>
    </row>
    <row r="742" spans="21:22" x14ac:dyDescent="0.3">
      <c r="U742" s="1" t="s">
        <v>1057</v>
      </c>
      <c r="V742" s="1"/>
    </row>
    <row r="743" spans="21:22" x14ac:dyDescent="0.3">
      <c r="U743" s="1" t="s">
        <v>1058</v>
      </c>
      <c r="V743" s="1"/>
    </row>
    <row r="744" spans="21:22" x14ac:dyDescent="0.3">
      <c r="U744" s="1" t="s">
        <v>1059</v>
      </c>
      <c r="V744" s="1"/>
    </row>
    <row r="745" spans="21:22" x14ac:dyDescent="0.3">
      <c r="U745" s="1" t="s">
        <v>1060</v>
      </c>
      <c r="V745" s="1"/>
    </row>
    <row r="746" spans="21:22" x14ac:dyDescent="0.3">
      <c r="U746" s="1" t="s">
        <v>1061</v>
      </c>
      <c r="V746" s="1"/>
    </row>
    <row r="747" spans="21:22" x14ac:dyDescent="0.3">
      <c r="U747" s="1" t="s">
        <v>1062</v>
      </c>
      <c r="V747" s="1"/>
    </row>
    <row r="748" spans="21:22" x14ac:dyDescent="0.3">
      <c r="U748" s="1" t="s">
        <v>1063</v>
      </c>
      <c r="V748" s="1"/>
    </row>
    <row r="749" spans="21:22" x14ac:dyDescent="0.3">
      <c r="U749" s="1" t="s">
        <v>1064</v>
      </c>
      <c r="V749" s="1"/>
    </row>
    <row r="750" spans="21:22" x14ac:dyDescent="0.3">
      <c r="U750" s="1" t="s">
        <v>1065</v>
      </c>
      <c r="V750" s="1"/>
    </row>
    <row r="751" spans="21:22" x14ac:dyDescent="0.3">
      <c r="U751" s="1" t="s">
        <v>1066</v>
      </c>
      <c r="V751" s="1"/>
    </row>
    <row r="752" spans="21:22" x14ac:dyDescent="0.3">
      <c r="U752" s="1" t="s">
        <v>1067</v>
      </c>
      <c r="V752" s="1"/>
    </row>
    <row r="753" spans="21:22" x14ac:dyDescent="0.3">
      <c r="U753" s="1" t="s">
        <v>1068</v>
      </c>
      <c r="V753" s="1"/>
    </row>
    <row r="754" spans="21:22" x14ac:dyDescent="0.3">
      <c r="U754" s="1" t="s">
        <v>1069</v>
      </c>
      <c r="V754" s="1"/>
    </row>
    <row r="755" spans="21:22" x14ac:dyDescent="0.3">
      <c r="U755" s="1" t="s">
        <v>1070</v>
      </c>
      <c r="V755" s="1"/>
    </row>
    <row r="756" spans="21:22" x14ac:dyDescent="0.3">
      <c r="U756" s="1" t="s">
        <v>1071</v>
      </c>
      <c r="V756" s="1"/>
    </row>
    <row r="757" spans="21:22" x14ac:dyDescent="0.3">
      <c r="U757" s="1" t="s">
        <v>1072</v>
      </c>
      <c r="V757" s="1"/>
    </row>
    <row r="758" spans="21:22" x14ac:dyDescent="0.3">
      <c r="U758" s="1" t="s">
        <v>1073</v>
      </c>
      <c r="V758" s="1"/>
    </row>
    <row r="759" spans="21:22" x14ac:dyDescent="0.3">
      <c r="U759" s="1" t="s">
        <v>1074</v>
      </c>
      <c r="V759" s="1"/>
    </row>
    <row r="760" spans="21:22" x14ac:dyDescent="0.3">
      <c r="U760" s="1" t="s">
        <v>1075</v>
      </c>
      <c r="V760" s="1"/>
    </row>
    <row r="761" spans="21:22" x14ac:dyDescent="0.3">
      <c r="U761" s="1" t="s">
        <v>1076</v>
      </c>
      <c r="V761" s="1"/>
    </row>
    <row r="762" spans="21:22" x14ac:dyDescent="0.3">
      <c r="U762" s="1" t="s">
        <v>1077</v>
      </c>
      <c r="V762" s="1"/>
    </row>
    <row r="763" spans="21:22" x14ac:dyDescent="0.3">
      <c r="U763" s="1" t="s">
        <v>1078</v>
      </c>
      <c r="V763" s="1"/>
    </row>
    <row r="764" spans="21:22" x14ac:dyDescent="0.3">
      <c r="U764" s="1" t="s">
        <v>1079</v>
      </c>
      <c r="V764" s="1"/>
    </row>
    <row r="765" spans="21:22" x14ac:dyDescent="0.3">
      <c r="U765" s="1" t="s">
        <v>1080</v>
      </c>
      <c r="V765" s="1"/>
    </row>
    <row r="766" spans="21:22" x14ac:dyDescent="0.3">
      <c r="U766" s="1" t="s">
        <v>1081</v>
      </c>
      <c r="V766" s="1"/>
    </row>
    <row r="767" spans="21:22" x14ac:dyDescent="0.3">
      <c r="U767" s="1" t="s">
        <v>1082</v>
      </c>
      <c r="V767" s="1"/>
    </row>
    <row r="768" spans="21:22" x14ac:dyDescent="0.3">
      <c r="U768" s="1" t="s">
        <v>1083</v>
      </c>
      <c r="V768" s="1"/>
    </row>
    <row r="769" spans="21:22" x14ac:dyDescent="0.3">
      <c r="U769" s="1" t="s">
        <v>1084</v>
      </c>
      <c r="V769" s="1"/>
    </row>
    <row r="770" spans="21:22" x14ac:dyDescent="0.3">
      <c r="U770" s="1" t="s">
        <v>1085</v>
      </c>
      <c r="V770" s="1"/>
    </row>
    <row r="771" spans="21:22" x14ac:dyDescent="0.3">
      <c r="U771" s="1" t="s">
        <v>1086</v>
      </c>
      <c r="V771" s="1"/>
    </row>
    <row r="772" spans="21:22" x14ac:dyDescent="0.3">
      <c r="U772" s="1" t="s">
        <v>1087</v>
      </c>
      <c r="V772" s="1"/>
    </row>
    <row r="773" spans="21:22" x14ac:dyDescent="0.3">
      <c r="U773" s="1" t="s">
        <v>1088</v>
      </c>
      <c r="V773" s="1"/>
    </row>
    <row r="774" spans="21:22" x14ac:dyDescent="0.3">
      <c r="U774" s="1" t="s">
        <v>1089</v>
      </c>
      <c r="V774" s="1"/>
    </row>
    <row r="775" spans="21:22" x14ac:dyDescent="0.3">
      <c r="U775" s="1" t="s">
        <v>1090</v>
      </c>
      <c r="V775" s="1"/>
    </row>
    <row r="776" spans="21:22" x14ac:dyDescent="0.3">
      <c r="U776" s="1" t="s">
        <v>1091</v>
      </c>
      <c r="V776" s="1"/>
    </row>
    <row r="777" spans="21:22" x14ac:dyDescent="0.3">
      <c r="U777" s="1" t="s">
        <v>1092</v>
      </c>
      <c r="V777" s="1"/>
    </row>
    <row r="778" spans="21:22" x14ac:dyDescent="0.3">
      <c r="U778" s="1" t="s">
        <v>1093</v>
      </c>
      <c r="V778" s="1"/>
    </row>
    <row r="779" spans="21:22" x14ac:dyDescent="0.3">
      <c r="U779" s="1" t="s">
        <v>1094</v>
      </c>
      <c r="V779" s="1"/>
    </row>
    <row r="780" spans="21:22" x14ac:dyDescent="0.3">
      <c r="U780" s="1" t="s">
        <v>1095</v>
      </c>
      <c r="V780" s="1"/>
    </row>
    <row r="781" spans="21:22" x14ac:dyDescent="0.3">
      <c r="U781" s="1" t="s">
        <v>1096</v>
      </c>
      <c r="V781" s="1"/>
    </row>
    <row r="782" spans="21:22" x14ac:dyDescent="0.3">
      <c r="U782" s="1" t="s">
        <v>1097</v>
      </c>
      <c r="V782" s="1"/>
    </row>
    <row r="783" spans="21:22" x14ac:dyDescent="0.3">
      <c r="U783" s="1" t="s">
        <v>1098</v>
      </c>
      <c r="V783" s="1"/>
    </row>
    <row r="784" spans="21:22" x14ac:dyDescent="0.3">
      <c r="U784" s="1" t="s">
        <v>1099</v>
      </c>
      <c r="V784" s="1"/>
    </row>
    <row r="785" spans="21:22" x14ac:dyDescent="0.3">
      <c r="U785" s="1" t="s">
        <v>1100</v>
      </c>
      <c r="V785" s="1"/>
    </row>
    <row r="786" spans="21:22" x14ac:dyDescent="0.3">
      <c r="U786" s="1" t="s">
        <v>1101</v>
      </c>
      <c r="V786" s="1"/>
    </row>
    <row r="787" spans="21:22" x14ac:dyDescent="0.3">
      <c r="U787" s="1" t="s">
        <v>1102</v>
      </c>
      <c r="V787" s="1"/>
    </row>
    <row r="788" spans="21:22" x14ac:dyDescent="0.3">
      <c r="U788" s="1" t="s">
        <v>1103</v>
      </c>
      <c r="V788" s="1"/>
    </row>
    <row r="789" spans="21:22" x14ac:dyDescent="0.3">
      <c r="U789" s="1" t="s">
        <v>1104</v>
      </c>
      <c r="V789" s="1"/>
    </row>
    <row r="790" spans="21:22" x14ac:dyDescent="0.3">
      <c r="U790" s="1" t="s">
        <v>1105</v>
      </c>
      <c r="V790" s="1"/>
    </row>
    <row r="791" spans="21:22" x14ac:dyDescent="0.3">
      <c r="U791" s="1" t="s">
        <v>1106</v>
      </c>
      <c r="V791" s="1"/>
    </row>
    <row r="792" spans="21:22" x14ac:dyDescent="0.3">
      <c r="U792" s="1" t="s">
        <v>1107</v>
      </c>
      <c r="V792" s="1"/>
    </row>
    <row r="793" spans="21:22" x14ac:dyDescent="0.3">
      <c r="U793" s="1" t="s">
        <v>1108</v>
      </c>
      <c r="V793" s="1"/>
    </row>
    <row r="794" spans="21:22" x14ac:dyDescent="0.3">
      <c r="U794" s="1" t="s">
        <v>1109</v>
      </c>
      <c r="V794" s="1"/>
    </row>
    <row r="795" spans="21:22" x14ac:dyDescent="0.3">
      <c r="U795" s="1" t="s">
        <v>1110</v>
      </c>
      <c r="V795" s="1"/>
    </row>
    <row r="796" spans="21:22" x14ac:dyDescent="0.3">
      <c r="U796" s="1" t="s">
        <v>1111</v>
      </c>
      <c r="V796" s="1"/>
    </row>
    <row r="797" spans="21:22" x14ac:dyDescent="0.3">
      <c r="U797" s="1" t="s">
        <v>1112</v>
      </c>
      <c r="V797" s="1"/>
    </row>
    <row r="798" spans="21:22" x14ac:dyDescent="0.3">
      <c r="U798" s="1" t="s">
        <v>1113</v>
      </c>
      <c r="V798" s="1"/>
    </row>
    <row r="799" spans="21:22" x14ac:dyDescent="0.3">
      <c r="U799" s="1" t="s">
        <v>1114</v>
      </c>
      <c r="V799" s="1"/>
    </row>
    <row r="800" spans="21:22" x14ac:dyDescent="0.3">
      <c r="U800" s="1" t="s">
        <v>1115</v>
      </c>
      <c r="V800" s="1"/>
    </row>
    <row r="801" spans="21:22" x14ac:dyDescent="0.3">
      <c r="U801" s="1" t="s">
        <v>1116</v>
      </c>
      <c r="V801" s="1"/>
    </row>
    <row r="802" spans="21:22" x14ac:dyDescent="0.3">
      <c r="U802" s="1" t="s">
        <v>1117</v>
      </c>
      <c r="V802" s="1"/>
    </row>
    <row r="803" spans="21:22" x14ac:dyDescent="0.3">
      <c r="U803" s="1" t="s">
        <v>1118</v>
      </c>
      <c r="V803" s="1"/>
    </row>
    <row r="804" spans="21:22" x14ac:dyDescent="0.3">
      <c r="U804" s="1" t="s">
        <v>1119</v>
      </c>
      <c r="V804" s="1"/>
    </row>
    <row r="805" spans="21:22" x14ac:dyDescent="0.3">
      <c r="U805" s="1" t="s">
        <v>1120</v>
      </c>
      <c r="V805" s="1"/>
    </row>
    <row r="806" spans="21:22" x14ac:dyDescent="0.3">
      <c r="U806" s="1" t="s">
        <v>1121</v>
      </c>
      <c r="V806" s="1"/>
    </row>
    <row r="807" spans="21:22" x14ac:dyDescent="0.3">
      <c r="U807" s="1" t="s">
        <v>1122</v>
      </c>
      <c r="V807" s="1"/>
    </row>
    <row r="808" spans="21:22" x14ac:dyDescent="0.3">
      <c r="U808" s="1" t="s">
        <v>1123</v>
      </c>
      <c r="V808" s="1"/>
    </row>
    <row r="809" spans="21:22" x14ac:dyDescent="0.3">
      <c r="U809" s="1" t="s">
        <v>1124</v>
      </c>
      <c r="V809" s="1"/>
    </row>
    <row r="810" spans="21:22" x14ac:dyDescent="0.3">
      <c r="U810" s="1" t="s">
        <v>1125</v>
      </c>
      <c r="V810" s="1"/>
    </row>
    <row r="811" spans="21:22" x14ac:dyDescent="0.3">
      <c r="U811" s="1" t="s">
        <v>1126</v>
      </c>
      <c r="V811" s="1"/>
    </row>
    <row r="812" spans="21:22" x14ac:dyDescent="0.3">
      <c r="U812" s="1" t="s">
        <v>1127</v>
      </c>
      <c r="V812" s="1"/>
    </row>
    <row r="813" spans="21:22" x14ac:dyDescent="0.3">
      <c r="U813" s="1" t="s">
        <v>1128</v>
      </c>
      <c r="V813" s="1"/>
    </row>
    <row r="814" spans="21:22" x14ac:dyDescent="0.3">
      <c r="U814" s="1" t="s">
        <v>1129</v>
      </c>
      <c r="V814" s="1"/>
    </row>
    <row r="815" spans="21:22" x14ac:dyDescent="0.3">
      <c r="U815" s="1" t="s">
        <v>1130</v>
      </c>
      <c r="V815" s="1"/>
    </row>
    <row r="816" spans="21:22" x14ac:dyDescent="0.3">
      <c r="U816" s="1" t="s">
        <v>1131</v>
      </c>
      <c r="V816" s="1"/>
    </row>
    <row r="817" spans="21:22" x14ac:dyDescent="0.3">
      <c r="U817" s="1" t="s">
        <v>1132</v>
      </c>
      <c r="V817" s="1"/>
    </row>
    <row r="818" spans="21:22" x14ac:dyDescent="0.3">
      <c r="U818" s="1" t="s">
        <v>1133</v>
      </c>
      <c r="V818" s="1"/>
    </row>
    <row r="819" spans="21:22" x14ac:dyDescent="0.3">
      <c r="U819" s="1" t="s">
        <v>1134</v>
      </c>
      <c r="V819" s="1"/>
    </row>
    <row r="820" spans="21:22" x14ac:dyDescent="0.3">
      <c r="U820" s="1" t="s">
        <v>1135</v>
      </c>
      <c r="V820" s="1"/>
    </row>
    <row r="821" spans="21:22" x14ac:dyDescent="0.3">
      <c r="U821" s="1" t="s">
        <v>1136</v>
      </c>
      <c r="V821" s="1"/>
    </row>
    <row r="822" spans="21:22" x14ac:dyDescent="0.3">
      <c r="U822" s="1" t="s">
        <v>1137</v>
      </c>
      <c r="V822" s="1"/>
    </row>
    <row r="823" spans="21:22" x14ac:dyDescent="0.3">
      <c r="U823" s="1" t="s">
        <v>1138</v>
      </c>
      <c r="V823" s="1"/>
    </row>
    <row r="824" spans="21:22" x14ac:dyDescent="0.3">
      <c r="U824" s="1" t="s">
        <v>1139</v>
      </c>
      <c r="V824" s="1"/>
    </row>
    <row r="825" spans="21:22" x14ac:dyDescent="0.3">
      <c r="U825" s="1" t="s">
        <v>1140</v>
      </c>
      <c r="V825" s="1"/>
    </row>
    <row r="826" spans="21:22" x14ac:dyDescent="0.3">
      <c r="U826" s="1" t="s">
        <v>1141</v>
      </c>
      <c r="V826" s="1"/>
    </row>
    <row r="827" spans="21:22" x14ac:dyDescent="0.3">
      <c r="U827" s="1" t="s">
        <v>1142</v>
      </c>
      <c r="V827" s="1"/>
    </row>
    <row r="828" spans="21:22" x14ac:dyDescent="0.3">
      <c r="U828" s="1" t="s">
        <v>1143</v>
      </c>
      <c r="V828" s="1"/>
    </row>
    <row r="829" spans="21:22" x14ac:dyDescent="0.3">
      <c r="U829" s="1" t="s">
        <v>1144</v>
      </c>
      <c r="V829" s="1"/>
    </row>
    <row r="830" spans="21:22" x14ac:dyDescent="0.3">
      <c r="U830" s="1" t="s">
        <v>1145</v>
      </c>
      <c r="V830" s="1"/>
    </row>
    <row r="831" spans="21:22" x14ac:dyDescent="0.3">
      <c r="U831" s="1" t="s">
        <v>1146</v>
      </c>
      <c r="V831" s="1"/>
    </row>
    <row r="832" spans="21:22" x14ac:dyDescent="0.3">
      <c r="U832" s="1" t="s">
        <v>1147</v>
      </c>
      <c r="V832" s="1"/>
    </row>
    <row r="833" spans="21:22" x14ac:dyDescent="0.3">
      <c r="U833" s="1" t="s">
        <v>1148</v>
      </c>
      <c r="V833" s="1"/>
    </row>
    <row r="834" spans="21:22" x14ac:dyDescent="0.3">
      <c r="U834" s="1" t="s">
        <v>1149</v>
      </c>
      <c r="V834" s="1"/>
    </row>
    <row r="835" spans="21:22" x14ac:dyDescent="0.3">
      <c r="U835" s="1" t="s">
        <v>1150</v>
      </c>
      <c r="V835" s="1"/>
    </row>
    <row r="836" spans="21:22" x14ac:dyDescent="0.3">
      <c r="U836" s="1" t="s">
        <v>1151</v>
      </c>
      <c r="V836" s="1"/>
    </row>
    <row r="837" spans="21:22" x14ac:dyDescent="0.3">
      <c r="U837" s="1" t="s">
        <v>1152</v>
      </c>
      <c r="V837" s="1"/>
    </row>
    <row r="838" spans="21:22" x14ac:dyDescent="0.3">
      <c r="U838" s="1" t="s">
        <v>1153</v>
      </c>
      <c r="V838" s="1"/>
    </row>
    <row r="839" spans="21:22" x14ac:dyDescent="0.3">
      <c r="U839" s="1" t="s">
        <v>1154</v>
      </c>
      <c r="V839" s="1"/>
    </row>
    <row r="840" spans="21:22" x14ac:dyDescent="0.3">
      <c r="U840" s="1" t="s">
        <v>1155</v>
      </c>
      <c r="V840" s="1"/>
    </row>
    <row r="841" spans="21:22" x14ac:dyDescent="0.3">
      <c r="U841" s="1" t="s">
        <v>1156</v>
      </c>
      <c r="V841" s="1"/>
    </row>
    <row r="842" spans="21:22" x14ac:dyDescent="0.3">
      <c r="U842" s="1" t="s">
        <v>1157</v>
      </c>
      <c r="V842" s="1"/>
    </row>
    <row r="843" spans="21:22" x14ac:dyDescent="0.3">
      <c r="U843" s="1" t="s">
        <v>1158</v>
      </c>
      <c r="V843" s="1"/>
    </row>
    <row r="844" spans="21:22" x14ac:dyDescent="0.3">
      <c r="U844" s="1" t="s">
        <v>1159</v>
      </c>
      <c r="V844" s="1"/>
    </row>
    <row r="845" spans="21:22" x14ac:dyDescent="0.3">
      <c r="U845" s="1" t="s">
        <v>1160</v>
      </c>
      <c r="V845" s="1"/>
    </row>
    <row r="846" spans="21:22" x14ac:dyDescent="0.3">
      <c r="U846" s="1" t="s">
        <v>1161</v>
      </c>
      <c r="V846" s="1"/>
    </row>
    <row r="847" spans="21:22" x14ac:dyDescent="0.3">
      <c r="U847" s="1" t="s">
        <v>1162</v>
      </c>
      <c r="V847" s="1"/>
    </row>
    <row r="848" spans="21:22" x14ac:dyDescent="0.3">
      <c r="U848" s="1" t="s">
        <v>1163</v>
      </c>
      <c r="V848" s="1"/>
    </row>
    <row r="849" spans="21:22" x14ac:dyDescent="0.3">
      <c r="U849" s="1" t="s">
        <v>1164</v>
      </c>
      <c r="V849" s="1"/>
    </row>
    <row r="850" spans="21:22" x14ac:dyDescent="0.3">
      <c r="U850" s="1" t="s">
        <v>1165</v>
      </c>
      <c r="V850" s="1"/>
    </row>
    <row r="851" spans="21:22" x14ac:dyDescent="0.3">
      <c r="U851" s="1" t="s">
        <v>1166</v>
      </c>
      <c r="V851" s="1"/>
    </row>
    <row r="852" spans="21:22" x14ac:dyDescent="0.3">
      <c r="U852" s="1" t="s">
        <v>1167</v>
      </c>
      <c r="V852" s="1"/>
    </row>
    <row r="853" spans="21:22" x14ac:dyDescent="0.3">
      <c r="U853" s="1" t="s">
        <v>1168</v>
      </c>
      <c r="V853" s="1"/>
    </row>
    <row r="854" spans="21:22" x14ac:dyDescent="0.3">
      <c r="U854" s="1" t="s">
        <v>1169</v>
      </c>
      <c r="V854" s="1"/>
    </row>
    <row r="855" spans="21:22" x14ac:dyDescent="0.3">
      <c r="U855" s="1" t="s">
        <v>1170</v>
      </c>
      <c r="V855" s="1"/>
    </row>
    <row r="856" spans="21:22" x14ac:dyDescent="0.3">
      <c r="U856" s="1" t="s">
        <v>1171</v>
      </c>
      <c r="V856" s="1"/>
    </row>
    <row r="857" spans="21:22" x14ac:dyDescent="0.3">
      <c r="U857" s="1" t="s">
        <v>1172</v>
      </c>
      <c r="V857" s="1"/>
    </row>
    <row r="858" spans="21:22" x14ac:dyDescent="0.3">
      <c r="U858" s="1" t="s">
        <v>1173</v>
      </c>
      <c r="V858" s="1"/>
    </row>
    <row r="859" spans="21:22" x14ac:dyDescent="0.3">
      <c r="U859" s="1" t="s">
        <v>1174</v>
      </c>
      <c r="V859" s="1"/>
    </row>
    <row r="860" spans="21:22" x14ac:dyDescent="0.3">
      <c r="U860" s="1" t="s">
        <v>1175</v>
      </c>
      <c r="V860" s="1"/>
    </row>
    <row r="861" spans="21:22" x14ac:dyDescent="0.3">
      <c r="U861" s="1" t="s">
        <v>1176</v>
      </c>
      <c r="V861" s="1"/>
    </row>
    <row r="862" spans="21:22" x14ac:dyDescent="0.3">
      <c r="U862" s="1" t="s">
        <v>1177</v>
      </c>
      <c r="V862" s="1"/>
    </row>
    <row r="863" spans="21:22" x14ac:dyDescent="0.3">
      <c r="U863" s="1" t="s">
        <v>1178</v>
      </c>
      <c r="V863" s="1"/>
    </row>
    <row r="864" spans="21:22" x14ac:dyDescent="0.3">
      <c r="U864" s="1" t="s">
        <v>1179</v>
      </c>
      <c r="V864" s="1"/>
    </row>
    <row r="865" spans="21:22" x14ac:dyDescent="0.3">
      <c r="U865" s="1" t="s">
        <v>1180</v>
      </c>
      <c r="V865" s="1"/>
    </row>
    <row r="866" spans="21:22" x14ac:dyDescent="0.3">
      <c r="U866" s="1" t="s">
        <v>1181</v>
      </c>
      <c r="V866" s="1"/>
    </row>
    <row r="867" spans="21:22" x14ac:dyDescent="0.3">
      <c r="U867" s="1" t="s">
        <v>1182</v>
      </c>
      <c r="V867" s="1"/>
    </row>
    <row r="868" spans="21:22" x14ac:dyDescent="0.3">
      <c r="U868" s="1" t="s">
        <v>1183</v>
      </c>
      <c r="V868" s="1"/>
    </row>
    <row r="869" spans="21:22" x14ac:dyDescent="0.3">
      <c r="U869" s="1" t="s">
        <v>1184</v>
      </c>
      <c r="V869" s="1"/>
    </row>
    <row r="870" spans="21:22" x14ac:dyDescent="0.3">
      <c r="U870" s="1" t="s">
        <v>1185</v>
      </c>
      <c r="V870" s="1"/>
    </row>
    <row r="871" spans="21:22" x14ac:dyDescent="0.3">
      <c r="U871" s="1" t="s">
        <v>1186</v>
      </c>
      <c r="V871" s="1"/>
    </row>
    <row r="872" spans="21:22" x14ac:dyDescent="0.3">
      <c r="U872" s="1" t="s">
        <v>1187</v>
      </c>
      <c r="V872" s="1"/>
    </row>
    <row r="873" spans="21:22" x14ac:dyDescent="0.3">
      <c r="U873" s="1" t="s">
        <v>1188</v>
      </c>
      <c r="V873" s="1"/>
    </row>
    <row r="874" spans="21:22" x14ac:dyDescent="0.3">
      <c r="U874" s="1" t="s">
        <v>1189</v>
      </c>
      <c r="V874" s="1"/>
    </row>
    <row r="875" spans="21:22" x14ac:dyDescent="0.3">
      <c r="U875" s="1" t="s">
        <v>1190</v>
      </c>
      <c r="V875" s="1"/>
    </row>
    <row r="876" spans="21:22" x14ac:dyDescent="0.3">
      <c r="U876" s="1" t="s">
        <v>1191</v>
      </c>
      <c r="V876" s="1"/>
    </row>
    <row r="877" spans="21:22" x14ac:dyDescent="0.3">
      <c r="U877" s="1" t="s">
        <v>1192</v>
      </c>
      <c r="V877" s="1"/>
    </row>
    <row r="878" spans="21:22" x14ac:dyDescent="0.3">
      <c r="U878" s="1" t="s">
        <v>1193</v>
      </c>
      <c r="V878" s="1"/>
    </row>
    <row r="879" spans="21:22" x14ac:dyDescent="0.3">
      <c r="U879" s="1" t="s">
        <v>1194</v>
      </c>
      <c r="V879" s="1"/>
    </row>
    <row r="880" spans="21:22" x14ac:dyDescent="0.3">
      <c r="U880" s="1" t="s">
        <v>1195</v>
      </c>
      <c r="V880" s="1"/>
    </row>
    <row r="881" spans="21:22" x14ac:dyDescent="0.3">
      <c r="U881" s="1" t="s">
        <v>1196</v>
      </c>
      <c r="V881" s="1"/>
    </row>
    <row r="882" spans="21:22" x14ac:dyDescent="0.3">
      <c r="U882" s="1" t="s">
        <v>1197</v>
      </c>
      <c r="V882" s="1"/>
    </row>
    <row r="883" spans="21:22" x14ac:dyDescent="0.3">
      <c r="U883" s="1" t="s">
        <v>1198</v>
      </c>
      <c r="V883" s="1"/>
    </row>
    <row r="884" spans="21:22" x14ac:dyDescent="0.3">
      <c r="U884" s="1" t="s">
        <v>1199</v>
      </c>
      <c r="V884" s="1"/>
    </row>
    <row r="885" spans="21:22" x14ac:dyDescent="0.3">
      <c r="U885" s="1" t="s">
        <v>1200</v>
      </c>
      <c r="V885" s="1"/>
    </row>
    <row r="886" spans="21:22" x14ac:dyDescent="0.3">
      <c r="U886" s="1" t="s">
        <v>1201</v>
      </c>
      <c r="V886" s="1"/>
    </row>
    <row r="887" spans="21:22" x14ac:dyDescent="0.3">
      <c r="U887" s="1" t="s">
        <v>1202</v>
      </c>
      <c r="V887" s="1"/>
    </row>
    <row r="888" spans="21:22" x14ac:dyDescent="0.3">
      <c r="U888" s="1" t="s">
        <v>1203</v>
      </c>
      <c r="V888" s="1"/>
    </row>
    <row r="889" spans="21:22" x14ac:dyDescent="0.3">
      <c r="U889" s="1" t="s">
        <v>1204</v>
      </c>
      <c r="V889" s="1"/>
    </row>
    <row r="890" spans="21:22" x14ac:dyDescent="0.3">
      <c r="U890" s="1" t="s">
        <v>1205</v>
      </c>
      <c r="V890" s="1"/>
    </row>
    <row r="891" spans="21:22" x14ac:dyDescent="0.3">
      <c r="U891" s="1" t="s">
        <v>1206</v>
      </c>
      <c r="V891" s="1"/>
    </row>
    <row r="892" spans="21:22" x14ac:dyDescent="0.3">
      <c r="U892" s="1" t="s">
        <v>1207</v>
      </c>
      <c r="V892" s="1"/>
    </row>
    <row r="893" spans="21:22" x14ac:dyDescent="0.3">
      <c r="U893" s="1" t="s">
        <v>1208</v>
      </c>
      <c r="V893" s="1"/>
    </row>
    <row r="894" spans="21:22" x14ac:dyDescent="0.3">
      <c r="U894" s="1" t="s">
        <v>1209</v>
      </c>
      <c r="V894" s="1"/>
    </row>
    <row r="895" spans="21:22" x14ac:dyDescent="0.3">
      <c r="U895" s="1" t="s">
        <v>1210</v>
      </c>
      <c r="V895" s="1"/>
    </row>
    <row r="896" spans="21:22" x14ac:dyDescent="0.3">
      <c r="U896" s="1" t="s">
        <v>1211</v>
      </c>
      <c r="V896" s="1"/>
    </row>
    <row r="897" spans="21:22" x14ac:dyDescent="0.3">
      <c r="U897" s="1" t="s">
        <v>1212</v>
      </c>
      <c r="V897" s="1"/>
    </row>
    <row r="898" spans="21:22" x14ac:dyDescent="0.3">
      <c r="U898" s="1" t="s">
        <v>1213</v>
      </c>
      <c r="V898" s="1"/>
    </row>
    <row r="899" spans="21:22" x14ac:dyDescent="0.3">
      <c r="U899" s="1" t="s">
        <v>1214</v>
      </c>
      <c r="V899" s="1"/>
    </row>
    <row r="900" spans="21:22" x14ac:dyDescent="0.3">
      <c r="U900" s="1" t="s">
        <v>1215</v>
      </c>
      <c r="V900" s="1"/>
    </row>
    <row r="901" spans="21:22" x14ac:dyDescent="0.3">
      <c r="U901" s="1" t="s">
        <v>1216</v>
      </c>
      <c r="V901" s="1"/>
    </row>
    <row r="902" spans="21:22" x14ac:dyDescent="0.3">
      <c r="U902" s="1" t="s">
        <v>1217</v>
      </c>
      <c r="V902" s="1"/>
    </row>
    <row r="903" spans="21:22" x14ac:dyDescent="0.3">
      <c r="U903" s="1" t="s">
        <v>1218</v>
      </c>
      <c r="V903" s="1"/>
    </row>
    <row r="904" spans="21:22" x14ac:dyDescent="0.3">
      <c r="U904" s="1" t="s">
        <v>1219</v>
      </c>
      <c r="V904" s="1"/>
    </row>
    <row r="905" spans="21:22" x14ac:dyDescent="0.3">
      <c r="U905" s="1" t="s">
        <v>1220</v>
      </c>
      <c r="V905" s="1"/>
    </row>
    <row r="906" spans="21:22" x14ac:dyDescent="0.3">
      <c r="U906" s="1" t="s">
        <v>1221</v>
      </c>
      <c r="V906" s="1"/>
    </row>
    <row r="907" spans="21:22" x14ac:dyDescent="0.3">
      <c r="U907" s="1" t="s">
        <v>1222</v>
      </c>
      <c r="V907" s="1"/>
    </row>
    <row r="908" spans="21:22" x14ac:dyDescent="0.3">
      <c r="U908" s="1" t="s">
        <v>1223</v>
      </c>
      <c r="V908" s="1"/>
    </row>
    <row r="909" spans="21:22" x14ac:dyDescent="0.3">
      <c r="U909" s="1" t="s">
        <v>1224</v>
      </c>
      <c r="V909" s="1"/>
    </row>
    <row r="910" spans="21:22" x14ac:dyDescent="0.3">
      <c r="U910" s="1" t="s">
        <v>1225</v>
      </c>
      <c r="V910" s="1"/>
    </row>
    <row r="911" spans="21:22" x14ac:dyDescent="0.3">
      <c r="U911" s="1" t="s">
        <v>1226</v>
      </c>
      <c r="V911" s="1"/>
    </row>
    <row r="912" spans="21:22" x14ac:dyDescent="0.3">
      <c r="U912" s="1" t="s">
        <v>1227</v>
      </c>
      <c r="V912" s="1"/>
    </row>
    <row r="913" spans="21:22" x14ac:dyDescent="0.3">
      <c r="U913" s="1" t="s">
        <v>1228</v>
      </c>
      <c r="V913" s="1"/>
    </row>
    <row r="914" spans="21:22" x14ac:dyDescent="0.3">
      <c r="U914" s="1" t="s">
        <v>1229</v>
      </c>
      <c r="V914" s="1"/>
    </row>
    <row r="915" spans="21:22" x14ac:dyDescent="0.3">
      <c r="U915" s="1" t="s">
        <v>1230</v>
      </c>
      <c r="V915" s="1"/>
    </row>
    <row r="916" spans="21:22" x14ac:dyDescent="0.3">
      <c r="U916" s="1" t="s">
        <v>1231</v>
      </c>
      <c r="V916" s="1"/>
    </row>
    <row r="917" spans="21:22" x14ac:dyDescent="0.3">
      <c r="U917" s="1" t="s">
        <v>1232</v>
      </c>
      <c r="V917" s="1"/>
    </row>
    <row r="918" spans="21:22" x14ac:dyDescent="0.3">
      <c r="U918" s="1" t="s">
        <v>1233</v>
      </c>
      <c r="V918" s="1"/>
    </row>
    <row r="919" spans="21:22" x14ac:dyDescent="0.3">
      <c r="U919" s="1" t="s">
        <v>1234</v>
      </c>
      <c r="V919" s="1"/>
    </row>
    <row r="920" spans="21:22" x14ac:dyDescent="0.3">
      <c r="U920" s="1" t="s">
        <v>1235</v>
      </c>
      <c r="V920" s="1"/>
    </row>
    <row r="921" spans="21:22" x14ac:dyDescent="0.3">
      <c r="U921" s="1" t="s">
        <v>1236</v>
      </c>
      <c r="V921" s="1"/>
    </row>
    <row r="922" spans="21:22" x14ac:dyDescent="0.3">
      <c r="U922" s="1" t="s">
        <v>1237</v>
      </c>
      <c r="V922" s="1"/>
    </row>
    <row r="923" spans="21:22" x14ac:dyDescent="0.3">
      <c r="U923" s="1" t="s">
        <v>1238</v>
      </c>
      <c r="V923" s="1"/>
    </row>
    <row r="924" spans="21:22" x14ac:dyDescent="0.3">
      <c r="U924" s="1" t="s">
        <v>1239</v>
      </c>
      <c r="V924" s="1"/>
    </row>
    <row r="925" spans="21:22" x14ac:dyDescent="0.3">
      <c r="U925" s="1" t="s">
        <v>1240</v>
      </c>
      <c r="V925" s="1"/>
    </row>
    <row r="926" spans="21:22" x14ac:dyDescent="0.3">
      <c r="U926" s="1" t="s">
        <v>1241</v>
      </c>
      <c r="V926" s="1"/>
    </row>
    <row r="927" spans="21:22" x14ac:dyDescent="0.3">
      <c r="U927" s="1" t="s">
        <v>1242</v>
      </c>
      <c r="V927" s="1"/>
    </row>
    <row r="928" spans="21:22" x14ac:dyDescent="0.3">
      <c r="U928" s="1" t="s">
        <v>1243</v>
      </c>
      <c r="V928" s="1"/>
    </row>
    <row r="929" spans="21:22" x14ac:dyDescent="0.3">
      <c r="U929" s="1" t="s">
        <v>1244</v>
      </c>
      <c r="V929" s="1"/>
    </row>
    <row r="930" spans="21:22" x14ac:dyDescent="0.3">
      <c r="U930" s="1" t="s">
        <v>1245</v>
      </c>
      <c r="V930" s="1"/>
    </row>
    <row r="931" spans="21:22" x14ac:dyDescent="0.3">
      <c r="U931" s="1" t="s">
        <v>1246</v>
      </c>
      <c r="V931" s="1"/>
    </row>
    <row r="932" spans="21:22" x14ac:dyDescent="0.3">
      <c r="U932" s="1" t="s">
        <v>1247</v>
      </c>
      <c r="V932" s="1"/>
    </row>
    <row r="933" spans="21:22" x14ac:dyDescent="0.3">
      <c r="U933" s="1" t="s">
        <v>1248</v>
      </c>
      <c r="V933" s="1"/>
    </row>
    <row r="934" spans="21:22" x14ac:dyDescent="0.3">
      <c r="U934" s="1" t="s">
        <v>1249</v>
      </c>
      <c r="V934" s="1"/>
    </row>
    <row r="935" spans="21:22" x14ac:dyDescent="0.3">
      <c r="U935" s="1" t="s">
        <v>1250</v>
      </c>
      <c r="V935" s="1"/>
    </row>
    <row r="936" spans="21:22" x14ac:dyDescent="0.3">
      <c r="U936" s="1" t="s">
        <v>1251</v>
      </c>
      <c r="V936" s="1"/>
    </row>
    <row r="937" spans="21:22" x14ac:dyDescent="0.3">
      <c r="U937" s="1" t="s">
        <v>1252</v>
      </c>
      <c r="V937" s="1"/>
    </row>
    <row r="938" spans="21:22" x14ac:dyDescent="0.3">
      <c r="U938" s="1" t="s">
        <v>1253</v>
      </c>
      <c r="V938" s="1"/>
    </row>
    <row r="939" spans="21:22" x14ac:dyDescent="0.3">
      <c r="U939" s="1" t="s">
        <v>1254</v>
      </c>
      <c r="V939" s="1"/>
    </row>
    <row r="940" spans="21:22" x14ac:dyDescent="0.3">
      <c r="U940" s="1" t="s">
        <v>1255</v>
      </c>
      <c r="V940" s="1"/>
    </row>
    <row r="941" spans="21:22" x14ac:dyDescent="0.3">
      <c r="U941" s="1" t="s">
        <v>1256</v>
      </c>
      <c r="V941" s="1"/>
    </row>
    <row r="942" spans="21:22" x14ac:dyDescent="0.3">
      <c r="U942" s="1" t="s">
        <v>1257</v>
      </c>
      <c r="V942" s="1"/>
    </row>
    <row r="943" spans="21:22" x14ac:dyDescent="0.3">
      <c r="U943" s="1" t="s">
        <v>1258</v>
      </c>
      <c r="V943" s="1"/>
    </row>
    <row r="944" spans="21:22" x14ac:dyDescent="0.3">
      <c r="U944" s="1" t="s">
        <v>1259</v>
      </c>
      <c r="V944" s="1"/>
    </row>
    <row r="945" spans="21:22" x14ac:dyDescent="0.3">
      <c r="U945" s="1" t="s">
        <v>1260</v>
      </c>
      <c r="V945" s="1"/>
    </row>
    <row r="946" spans="21:22" x14ac:dyDescent="0.3">
      <c r="U946" s="1" t="s">
        <v>1261</v>
      </c>
      <c r="V946" s="1"/>
    </row>
    <row r="947" spans="21:22" x14ac:dyDescent="0.3">
      <c r="U947" s="1" t="s">
        <v>1262</v>
      </c>
      <c r="V947" s="1"/>
    </row>
    <row r="948" spans="21:22" x14ac:dyDescent="0.3">
      <c r="U948" s="1" t="s">
        <v>1263</v>
      </c>
      <c r="V948" s="1"/>
    </row>
    <row r="949" spans="21:22" x14ac:dyDescent="0.3">
      <c r="U949" s="1" t="s">
        <v>1264</v>
      </c>
      <c r="V949" s="1"/>
    </row>
    <row r="950" spans="21:22" x14ac:dyDescent="0.3">
      <c r="U950" s="1" t="s">
        <v>1265</v>
      </c>
      <c r="V950" s="1"/>
    </row>
    <row r="951" spans="21:22" x14ac:dyDescent="0.3">
      <c r="U951" s="1" t="s">
        <v>1266</v>
      </c>
      <c r="V951" s="1"/>
    </row>
    <row r="952" spans="21:22" x14ac:dyDescent="0.3">
      <c r="U952" s="1" t="s">
        <v>1267</v>
      </c>
      <c r="V952" s="1"/>
    </row>
    <row r="953" spans="21:22" x14ac:dyDescent="0.3">
      <c r="U953" s="1" t="s">
        <v>1268</v>
      </c>
      <c r="V953" s="1"/>
    </row>
    <row r="954" spans="21:22" x14ac:dyDescent="0.3">
      <c r="U954" s="1" t="s">
        <v>1269</v>
      </c>
      <c r="V954" s="1"/>
    </row>
    <row r="955" spans="21:22" x14ac:dyDescent="0.3">
      <c r="U955" s="1" t="s">
        <v>1270</v>
      </c>
      <c r="V955" s="1"/>
    </row>
    <row r="956" spans="21:22" x14ac:dyDescent="0.3">
      <c r="U956" s="1" t="s">
        <v>1271</v>
      </c>
      <c r="V956" s="1"/>
    </row>
    <row r="957" spans="21:22" x14ac:dyDescent="0.3">
      <c r="U957" s="1" t="s">
        <v>1272</v>
      </c>
      <c r="V957" s="1"/>
    </row>
    <row r="958" spans="21:22" x14ac:dyDescent="0.3">
      <c r="U958" s="1" t="s">
        <v>1273</v>
      </c>
      <c r="V958" s="1"/>
    </row>
    <row r="959" spans="21:22" x14ac:dyDescent="0.3">
      <c r="U959" s="1" t="s">
        <v>1274</v>
      </c>
      <c r="V959" s="1"/>
    </row>
    <row r="960" spans="21:22" x14ac:dyDescent="0.3">
      <c r="U960" s="1" t="s">
        <v>1275</v>
      </c>
      <c r="V960" s="1"/>
    </row>
    <row r="961" spans="21:22" x14ac:dyDescent="0.3">
      <c r="U961" s="1" t="s">
        <v>1276</v>
      </c>
      <c r="V961" s="1"/>
    </row>
    <row r="962" spans="21:22" x14ac:dyDescent="0.3">
      <c r="U962" s="1" t="s">
        <v>1277</v>
      </c>
      <c r="V962" s="1"/>
    </row>
    <row r="963" spans="21:22" x14ac:dyDescent="0.3">
      <c r="U963" s="1" t="s">
        <v>1278</v>
      </c>
      <c r="V963" s="1"/>
    </row>
    <row r="964" spans="21:22" x14ac:dyDescent="0.3">
      <c r="U964" s="1" t="s">
        <v>1279</v>
      </c>
      <c r="V964" s="1"/>
    </row>
    <row r="965" spans="21:22" x14ac:dyDescent="0.3">
      <c r="U965" s="1" t="s">
        <v>1280</v>
      </c>
      <c r="V965" s="1"/>
    </row>
    <row r="966" spans="21:22" x14ac:dyDescent="0.3">
      <c r="U966" s="1" t="s">
        <v>1281</v>
      </c>
      <c r="V966" s="1"/>
    </row>
    <row r="967" spans="21:22" x14ac:dyDescent="0.3">
      <c r="U967" s="1" t="s">
        <v>1282</v>
      </c>
      <c r="V967" s="1"/>
    </row>
    <row r="968" spans="21:22" x14ac:dyDescent="0.3">
      <c r="U968" s="1" t="s">
        <v>1283</v>
      </c>
      <c r="V968" s="1"/>
    </row>
    <row r="969" spans="21:22" x14ac:dyDescent="0.3">
      <c r="U969" s="1" t="s">
        <v>1284</v>
      </c>
      <c r="V969" s="1"/>
    </row>
    <row r="970" spans="21:22" x14ac:dyDescent="0.3">
      <c r="U970" s="1" t="s">
        <v>1285</v>
      </c>
      <c r="V970" s="1"/>
    </row>
    <row r="971" spans="21:22" x14ac:dyDescent="0.3">
      <c r="U971" s="1" t="s">
        <v>1286</v>
      </c>
      <c r="V971" s="1"/>
    </row>
    <row r="972" spans="21:22" x14ac:dyDescent="0.3">
      <c r="U972" s="1" t="s">
        <v>1287</v>
      </c>
      <c r="V972" s="1"/>
    </row>
    <row r="973" spans="21:22" x14ac:dyDescent="0.3">
      <c r="U973" s="1" t="s">
        <v>1288</v>
      </c>
      <c r="V973" s="1"/>
    </row>
    <row r="974" spans="21:22" x14ac:dyDescent="0.3">
      <c r="U974" s="1" t="s">
        <v>1289</v>
      </c>
      <c r="V974" s="1"/>
    </row>
    <row r="975" spans="21:22" x14ac:dyDescent="0.3">
      <c r="U975" s="1" t="s">
        <v>1290</v>
      </c>
      <c r="V975" s="1"/>
    </row>
    <row r="976" spans="21:22" x14ac:dyDescent="0.3">
      <c r="U976" s="1" t="s">
        <v>1291</v>
      </c>
      <c r="V976" s="1"/>
    </row>
    <row r="977" spans="21:22" x14ac:dyDescent="0.3">
      <c r="U977" s="1" t="s">
        <v>1292</v>
      </c>
      <c r="V977" s="1"/>
    </row>
    <row r="978" spans="21:22" x14ac:dyDescent="0.3">
      <c r="U978" s="1" t="s">
        <v>1293</v>
      </c>
      <c r="V978" s="1"/>
    </row>
    <row r="979" spans="21:22" x14ac:dyDescent="0.3">
      <c r="U979" s="1" t="s">
        <v>1294</v>
      </c>
      <c r="V979" s="1"/>
    </row>
    <row r="980" spans="21:22" x14ac:dyDescent="0.3">
      <c r="U980" s="1" t="s">
        <v>1295</v>
      </c>
      <c r="V980" s="1"/>
    </row>
    <row r="981" spans="21:22" x14ac:dyDescent="0.3">
      <c r="U981" s="1" t="s">
        <v>1296</v>
      </c>
      <c r="V981" s="1"/>
    </row>
    <row r="982" spans="21:22" x14ac:dyDescent="0.3">
      <c r="U982" s="1" t="s">
        <v>1297</v>
      </c>
      <c r="V982" s="1"/>
    </row>
    <row r="983" spans="21:22" x14ac:dyDescent="0.3">
      <c r="U983" s="1" t="s">
        <v>1298</v>
      </c>
      <c r="V983" s="1"/>
    </row>
    <row r="984" spans="21:22" x14ac:dyDescent="0.3">
      <c r="U984" s="1" t="s">
        <v>1299</v>
      </c>
      <c r="V984" s="1"/>
    </row>
    <row r="985" spans="21:22" x14ac:dyDescent="0.3">
      <c r="U985" s="1" t="s">
        <v>1300</v>
      </c>
      <c r="V985" s="1"/>
    </row>
    <row r="986" spans="21:22" x14ac:dyDescent="0.3">
      <c r="U986" s="1" t="s">
        <v>1301</v>
      </c>
      <c r="V986" s="1"/>
    </row>
    <row r="987" spans="21:22" x14ac:dyDescent="0.3">
      <c r="U987" s="1" t="s">
        <v>1302</v>
      </c>
      <c r="V987" s="1"/>
    </row>
    <row r="988" spans="21:22" x14ac:dyDescent="0.3">
      <c r="U988" s="1" t="s">
        <v>1303</v>
      </c>
      <c r="V988" s="1"/>
    </row>
    <row r="989" spans="21:22" x14ac:dyDescent="0.3">
      <c r="U989" s="1" t="s">
        <v>1304</v>
      </c>
      <c r="V989" s="1"/>
    </row>
    <row r="990" spans="21:22" x14ac:dyDescent="0.3">
      <c r="U990" s="1" t="s">
        <v>1305</v>
      </c>
      <c r="V990" s="1"/>
    </row>
    <row r="991" spans="21:22" x14ac:dyDescent="0.3">
      <c r="U991" s="1" t="s">
        <v>1306</v>
      </c>
      <c r="V991" s="1"/>
    </row>
    <row r="992" spans="21:22" x14ac:dyDescent="0.3">
      <c r="U992" s="1" t="s">
        <v>1307</v>
      </c>
      <c r="V992" s="1"/>
    </row>
    <row r="993" spans="21:22" x14ac:dyDescent="0.3">
      <c r="U993" s="1" t="s">
        <v>1308</v>
      </c>
      <c r="V993" s="1"/>
    </row>
    <row r="994" spans="21:22" x14ac:dyDescent="0.3">
      <c r="U994" s="1" t="s">
        <v>1309</v>
      </c>
      <c r="V994" s="1"/>
    </row>
    <row r="995" spans="21:22" x14ac:dyDescent="0.3">
      <c r="U995" s="1" t="s">
        <v>1310</v>
      </c>
      <c r="V995" s="1"/>
    </row>
    <row r="996" spans="21:22" x14ac:dyDescent="0.3">
      <c r="U996" s="1" t="s">
        <v>1311</v>
      </c>
      <c r="V996" s="1"/>
    </row>
    <row r="997" spans="21:22" x14ac:dyDescent="0.3">
      <c r="U997" s="1" t="s">
        <v>1312</v>
      </c>
      <c r="V997" s="1"/>
    </row>
    <row r="998" spans="21:22" x14ac:dyDescent="0.3">
      <c r="U998" s="1" t="s">
        <v>1313</v>
      </c>
      <c r="V998" s="1"/>
    </row>
    <row r="999" spans="21:22" x14ac:dyDescent="0.3">
      <c r="U999" s="1" t="s">
        <v>1314</v>
      </c>
      <c r="V999" s="1"/>
    </row>
    <row r="1000" spans="21:22" x14ac:dyDescent="0.3">
      <c r="U1000" s="1" t="s">
        <v>1315</v>
      </c>
      <c r="V1000" s="1"/>
    </row>
    <row r="1001" spans="21:22" x14ac:dyDescent="0.3">
      <c r="U1001" s="1" t="s">
        <v>1316</v>
      </c>
      <c r="V1001" s="1"/>
    </row>
    <row r="1002" spans="21:22" x14ac:dyDescent="0.3">
      <c r="U1002" s="1" t="s">
        <v>1317</v>
      </c>
      <c r="V1002" s="1"/>
    </row>
    <row r="1003" spans="21:22" x14ac:dyDescent="0.3">
      <c r="U1003" s="1" t="s">
        <v>1318</v>
      </c>
      <c r="V1003" s="1"/>
    </row>
    <row r="1004" spans="21:22" x14ac:dyDescent="0.3">
      <c r="U1004" s="1" t="s">
        <v>1319</v>
      </c>
      <c r="V1004" s="1"/>
    </row>
    <row r="1005" spans="21:22" x14ac:dyDescent="0.3">
      <c r="U1005" s="1" t="s">
        <v>1320</v>
      </c>
      <c r="V1005" s="1"/>
    </row>
    <row r="1006" spans="21:22" x14ac:dyDescent="0.3">
      <c r="U1006" s="1" t="s">
        <v>1321</v>
      </c>
      <c r="V1006" s="1"/>
    </row>
    <row r="1007" spans="21:22" x14ac:dyDescent="0.3">
      <c r="U1007" s="1" t="s">
        <v>1322</v>
      </c>
      <c r="V1007" s="1"/>
    </row>
    <row r="1008" spans="21:22" x14ac:dyDescent="0.3">
      <c r="U1008" s="1" t="s">
        <v>1323</v>
      </c>
      <c r="V1008" s="1"/>
    </row>
    <row r="1009" spans="21:22" x14ac:dyDescent="0.3">
      <c r="U1009" s="1" t="s">
        <v>1324</v>
      </c>
      <c r="V1009" s="1"/>
    </row>
    <row r="1010" spans="21:22" x14ac:dyDescent="0.3">
      <c r="U1010" s="1" t="s">
        <v>1325</v>
      </c>
      <c r="V1010" s="1"/>
    </row>
    <row r="1011" spans="21:22" x14ac:dyDescent="0.3">
      <c r="U1011" s="1" t="s">
        <v>1326</v>
      </c>
      <c r="V1011" s="1"/>
    </row>
    <row r="1012" spans="21:22" x14ac:dyDescent="0.3">
      <c r="U1012" s="1" t="s">
        <v>1327</v>
      </c>
      <c r="V1012" s="1"/>
    </row>
    <row r="1013" spans="21:22" x14ac:dyDescent="0.3">
      <c r="U1013" s="1" t="s">
        <v>1328</v>
      </c>
      <c r="V1013" s="1"/>
    </row>
    <row r="1014" spans="21:22" x14ac:dyDescent="0.3">
      <c r="U1014" s="1" t="s">
        <v>1329</v>
      </c>
      <c r="V1014" s="1"/>
    </row>
    <row r="1015" spans="21:22" x14ac:dyDescent="0.3">
      <c r="U1015" s="1" t="s">
        <v>1330</v>
      </c>
      <c r="V1015" s="1"/>
    </row>
    <row r="1016" spans="21:22" x14ac:dyDescent="0.3">
      <c r="U1016" s="1" t="s">
        <v>1331</v>
      </c>
      <c r="V1016" s="1"/>
    </row>
    <row r="1017" spans="21:22" x14ac:dyDescent="0.3">
      <c r="U1017" s="1" t="s">
        <v>1332</v>
      </c>
      <c r="V1017" s="1"/>
    </row>
    <row r="1018" spans="21:22" x14ac:dyDescent="0.3">
      <c r="U1018" s="1" t="s">
        <v>1333</v>
      </c>
      <c r="V1018" s="1"/>
    </row>
    <row r="1019" spans="21:22" x14ac:dyDescent="0.3">
      <c r="U1019" s="1" t="s">
        <v>1334</v>
      </c>
      <c r="V1019" s="1"/>
    </row>
    <row r="1020" spans="21:22" x14ac:dyDescent="0.3">
      <c r="U1020" s="1" t="s">
        <v>1335</v>
      </c>
      <c r="V1020" s="1"/>
    </row>
    <row r="1021" spans="21:22" x14ac:dyDescent="0.3">
      <c r="U1021" s="1" t="s">
        <v>1336</v>
      </c>
      <c r="V1021" s="1"/>
    </row>
    <row r="1022" spans="21:22" x14ac:dyDescent="0.3">
      <c r="U1022" s="1" t="s">
        <v>1337</v>
      </c>
      <c r="V1022" s="1"/>
    </row>
    <row r="1023" spans="21:22" x14ac:dyDescent="0.3">
      <c r="U1023" s="1" t="s">
        <v>1338</v>
      </c>
      <c r="V1023" s="1"/>
    </row>
    <row r="1024" spans="21:22" x14ac:dyDescent="0.3">
      <c r="U1024" s="1" t="s">
        <v>1339</v>
      </c>
      <c r="V1024" s="1"/>
    </row>
    <row r="1025" spans="21:22" x14ac:dyDescent="0.3">
      <c r="U1025" s="1" t="s">
        <v>1340</v>
      </c>
      <c r="V1025" s="1"/>
    </row>
    <row r="1026" spans="21:22" x14ac:dyDescent="0.3">
      <c r="U1026" s="1" t="s">
        <v>1341</v>
      </c>
      <c r="V1026" s="1"/>
    </row>
    <row r="1027" spans="21:22" x14ac:dyDescent="0.3">
      <c r="U1027" s="1" t="s">
        <v>1342</v>
      </c>
      <c r="V1027" s="1"/>
    </row>
    <row r="1028" spans="21:22" x14ac:dyDescent="0.3">
      <c r="U1028" s="1" t="s">
        <v>1343</v>
      </c>
      <c r="V1028" s="1"/>
    </row>
    <row r="1029" spans="21:22" x14ac:dyDescent="0.3">
      <c r="U1029" s="1" t="s">
        <v>1344</v>
      </c>
      <c r="V1029" s="1"/>
    </row>
    <row r="1030" spans="21:22" x14ac:dyDescent="0.3">
      <c r="U1030" s="1" t="s">
        <v>1345</v>
      </c>
      <c r="V1030" s="1"/>
    </row>
    <row r="1031" spans="21:22" x14ac:dyDescent="0.3">
      <c r="U1031" s="1" t="s">
        <v>1346</v>
      </c>
      <c r="V1031" s="1"/>
    </row>
    <row r="1032" spans="21:22" x14ac:dyDescent="0.3">
      <c r="U1032" s="1" t="s">
        <v>1347</v>
      </c>
      <c r="V1032" s="1"/>
    </row>
    <row r="1033" spans="21:22" x14ac:dyDescent="0.3">
      <c r="U1033" s="1" t="s">
        <v>1348</v>
      </c>
      <c r="V1033" s="1"/>
    </row>
    <row r="1034" spans="21:22" x14ac:dyDescent="0.3">
      <c r="U1034" s="1" t="s">
        <v>1349</v>
      </c>
      <c r="V1034" s="1"/>
    </row>
    <row r="1035" spans="21:22" x14ac:dyDescent="0.3">
      <c r="U1035" s="1" t="s">
        <v>1350</v>
      </c>
      <c r="V1035" s="1"/>
    </row>
    <row r="1036" spans="21:22" x14ac:dyDescent="0.3">
      <c r="U1036" s="1" t="s">
        <v>1351</v>
      </c>
      <c r="V1036" s="1"/>
    </row>
    <row r="1037" spans="21:22" x14ac:dyDescent="0.3">
      <c r="U1037" s="1" t="s">
        <v>1352</v>
      </c>
      <c r="V1037" s="1"/>
    </row>
    <row r="1038" spans="21:22" x14ac:dyDescent="0.3">
      <c r="U1038" s="1" t="s">
        <v>1353</v>
      </c>
      <c r="V1038" s="1"/>
    </row>
    <row r="1039" spans="21:22" x14ac:dyDescent="0.3">
      <c r="U1039" s="1" t="s">
        <v>1354</v>
      </c>
      <c r="V1039" s="1"/>
    </row>
    <row r="1040" spans="21:22" x14ac:dyDescent="0.3">
      <c r="U1040" s="1" t="s">
        <v>1355</v>
      </c>
      <c r="V1040" s="1"/>
    </row>
    <row r="1041" spans="21:22" x14ac:dyDescent="0.3">
      <c r="U1041" s="1" t="s">
        <v>1356</v>
      </c>
      <c r="V1041" s="1"/>
    </row>
    <row r="1042" spans="21:22" x14ac:dyDescent="0.3">
      <c r="U1042" s="1" t="s">
        <v>1357</v>
      </c>
      <c r="V1042" s="1"/>
    </row>
    <row r="1043" spans="21:22" x14ac:dyDescent="0.3">
      <c r="U1043" s="1" t="s">
        <v>1358</v>
      </c>
      <c r="V1043" s="1"/>
    </row>
    <row r="1044" spans="21:22" x14ac:dyDescent="0.3">
      <c r="U1044" s="1" t="s">
        <v>1359</v>
      </c>
      <c r="V1044" s="1"/>
    </row>
    <row r="1045" spans="21:22" x14ac:dyDescent="0.3">
      <c r="U1045" s="1" t="s">
        <v>1360</v>
      </c>
      <c r="V1045" s="1"/>
    </row>
    <row r="1046" spans="21:22" x14ac:dyDescent="0.3">
      <c r="U1046" s="1" t="s">
        <v>1361</v>
      </c>
      <c r="V1046" s="1"/>
    </row>
    <row r="1047" spans="21:22" x14ac:dyDescent="0.3">
      <c r="U1047" s="1" t="s">
        <v>1362</v>
      </c>
      <c r="V1047" s="1"/>
    </row>
    <row r="1048" spans="21:22" x14ac:dyDescent="0.3">
      <c r="U1048" s="1" t="s">
        <v>1363</v>
      </c>
      <c r="V1048" s="1"/>
    </row>
    <row r="1049" spans="21:22" x14ac:dyDescent="0.3">
      <c r="U1049" s="1" t="s">
        <v>1364</v>
      </c>
      <c r="V1049" s="1"/>
    </row>
    <row r="1050" spans="21:22" x14ac:dyDescent="0.3">
      <c r="U1050" s="1" t="s">
        <v>1365</v>
      </c>
      <c r="V1050" s="1"/>
    </row>
    <row r="1051" spans="21:22" x14ac:dyDescent="0.3">
      <c r="U1051" s="1" t="s">
        <v>1366</v>
      </c>
      <c r="V1051" s="1"/>
    </row>
    <row r="1052" spans="21:22" x14ac:dyDescent="0.3">
      <c r="U1052" s="1" t="s">
        <v>1367</v>
      </c>
      <c r="V1052" s="1"/>
    </row>
    <row r="1053" spans="21:22" x14ac:dyDescent="0.3">
      <c r="U1053" s="1" t="s">
        <v>1368</v>
      </c>
      <c r="V1053" s="1"/>
    </row>
    <row r="1054" spans="21:22" x14ac:dyDescent="0.3">
      <c r="U1054" s="1" t="s">
        <v>1369</v>
      </c>
      <c r="V1054" s="1"/>
    </row>
    <row r="1055" spans="21:22" x14ac:dyDescent="0.3">
      <c r="U1055" s="1" t="s">
        <v>1370</v>
      </c>
      <c r="V1055" s="1"/>
    </row>
    <row r="1056" spans="21:22" x14ac:dyDescent="0.3">
      <c r="U1056" s="1" t="s">
        <v>1371</v>
      </c>
      <c r="V1056" s="1"/>
    </row>
    <row r="1057" spans="21:22" x14ac:dyDescent="0.3">
      <c r="U1057" s="1" t="s">
        <v>1372</v>
      </c>
      <c r="V1057" s="1"/>
    </row>
    <row r="1058" spans="21:22" x14ac:dyDescent="0.3">
      <c r="U1058" s="1" t="s">
        <v>1373</v>
      </c>
      <c r="V1058" s="1"/>
    </row>
    <row r="1059" spans="21:22" x14ac:dyDescent="0.3">
      <c r="U1059" s="1" t="s">
        <v>1374</v>
      </c>
      <c r="V1059" s="1"/>
    </row>
    <row r="1060" spans="21:22" x14ac:dyDescent="0.3">
      <c r="U1060" s="1" t="s">
        <v>1375</v>
      </c>
      <c r="V1060" s="1"/>
    </row>
    <row r="1061" spans="21:22" x14ac:dyDescent="0.3">
      <c r="U1061" s="1" t="s">
        <v>1376</v>
      </c>
      <c r="V1061" s="1"/>
    </row>
    <row r="1062" spans="21:22" x14ac:dyDescent="0.3">
      <c r="U1062" s="1" t="s">
        <v>1377</v>
      </c>
      <c r="V1062" s="1"/>
    </row>
    <row r="1063" spans="21:22" x14ac:dyDescent="0.3">
      <c r="U1063" s="1" t="s">
        <v>1378</v>
      </c>
      <c r="V1063" s="1"/>
    </row>
    <row r="1064" spans="21:22" x14ac:dyDescent="0.3">
      <c r="U1064" s="1" t="s">
        <v>1379</v>
      </c>
      <c r="V1064" s="1"/>
    </row>
    <row r="1065" spans="21:22" x14ac:dyDescent="0.3">
      <c r="U1065" s="1" t="s">
        <v>1380</v>
      </c>
      <c r="V1065" s="1"/>
    </row>
    <row r="1066" spans="21:22" x14ac:dyDescent="0.3">
      <c r="U1066" s="1" t="s">
        <v>1381</v>
      </c>
      <c r="V1066" s="1"/>
    </row>
    <row r="1067" spans="21:22" x14ac:dyDescent="0.3">
      <c r="U1067" s="1" t="s">
        <v>1382</v>
      </c>
      <c r="V1067" s="1"/>
    </row>
    <row r="1068" spans="21:22" x14ac:dyDescent="0.3">
      <c r="U1068" s="1" t="s">
        <v>1383</v>
      </c>
      <c r="V1068" s="1"/>
    </row>
    <row r="1069" spans="21:22" x14ac:dyDescent="0.3">
      <c r="U1069" s="1" t="s">
        <v>1384</v>
      </c>
      <c r="V1069" s="1"/>
    </row>
    <row r="1070" spans="21:22" x14ac:dyDescent="0.3">
      <c r="U1070" s="1" t="s">
        <v>1385</v>
      </c>
      <c r="V1070" s="1"/>
    </row>
    <row r="1071" spans="21:22" x14ac:dyDescent="0.3">
      <c r="U1071" s="1" t="s">
        <v>1386</v>
      </c>
      <c r="V1071" s="1"/>
    </row>
    <row r="1072" spans="21:22" x14ac:dyDescent="0.3">
      <c r="U1072" s="1" t="s">
        <v>1387</v>
      </c>
      <c r="V1072" s="1"/>
    </row>
    <row r="1073" spans="21:22" x14ac:dyDescent="0.3">
      <c r="U1073" s="1" t="s">
        <v>1388</v>
      </c>
      <c r="V1073" s="1"/>
    </row>
    <row r="1074" spans="21:22" x14ac:dyDescent="0.3">
      <c r="U1074" s="1" t="s">
        <v>1389</v>
      </c>
      <c r="V1074" s="1"/>
    </row>
    <row r="1075" spans="21:22" x14ac:dyDescent="0.3">
      <c r="U1075" s="1" t="s">
        <v>1390</v>
      </c>
      <c r="V1075" s="1"/>
    </row>
    <row r="1076" spans="21:22" x14ac:dyDescent="0.3">
      <c r="U1076" s="1" t="s">
        <v>1391</v>
      </c>
      <c r="V1076" s="1"/>
    </row>
    <row r="1077" spans="21:22" x14ac:dyDescent="0.3">
      <c r="U1077" s="1" t="s">
        <v>1392</v>
      </c>
      <c r="V1077" s="1"/>
    </row>
    <row r="1078" spans="21:22" x14ac:dyDescent="0.3">
      <c r="U1078" s="1" t="s">
        <v>1393</v>
      </c>
      <c r="V1078" s="1"/>
    </row>
    <row r="1079" spans="21:22" x14ac:dyDescent="0.3">
      <c r="U1079" s="1" t="s">
        <v>1394</v>
      </c>
      <c r="V1079" s="1"/>
    </row>
    <row r="1080" spans="21:22" x14ac:dyDescent="0.3">
      <c r="U1080" s="1" t="s">
        <v>1395</v>
      </c>
      <c r="V1080" s="1"/>
    </row>
    <row r="1081" spans="21:22" x14ac:dyDescent="0.3">
      <c r="U1081" s="1" t="s">
        <v>1396</v>
      </c>
      <c r="V1081" s="1"/>
    </row>
    <row r="1082" spans="21:22" x14ac:dyDescent="0.3">
      <c r="U1082" s="1" t="s">
        <v>1397</v>
      </c>
      <c r="V1082" s="1"/>
    </row>
    <row r="1083" spans="21:22" x14ac:dyDescent="0.3">
      <c r="U1083" s="1" t="s">
        <v>1398</v>
      </c>
      <c r="V1083" s="1"/>
    </row>
    <row r="1084" spans="21:22" x14ac:dyDescent="0.3">
      <c r="U1084" s="1" t="s">
        <v>1399</v>
      </c>
      <c r="V1084" s="1"/>
    </row>
    <row r="1085" spans="21:22" x14ac:dyDescent="0.3">
      <c r="U1085" s="1" t="s">
        <v>1400</v>
      </c>
      <c r="V1085" s="1"/>
    </row>
    <row r="1086" spans="21:22" x14ac:dyDescent="0.3">
      <c r="U1086" s="1" t="s">
        <v>1401</v>
      </c>
      <c r="V1086" s="1"/>
    </row>
    <row r="1087" spans="21:22" x14ac:dyDescent="0.3">
      <c r="U1087" s="1" t="s">
        <v>1402</v>
      </c>
      <c r="V1087" s="1"/>
    </row>
    <row r="1088" spans="21:22" x14ac:dyDescent="0.3">
      <c r="U1088" s="1" t="s">
        <v>1403</v>
      </c>
      <c r="V1088" s="1"/>
    </row>
    <row r="1089" spans="21:22" x14ac:dyDescent="0.3">
      <c r="U1089" s="1" t="s">
        <v>1404</v>
      </c>
      <c r="V1089" s="1"/>
    </row>
    <row r="1090" spans="21:22" x14ac:dyDescent="0.3">
      <c r="U1090" s="1" t="s">
        <v>1405</v>
      </c>
      <c r="V1090" s="1"/>
    </row>
    <row r="1091" spans="21:22" x14ac:dyDescent="0.3">
      <c r="U1091" s="1" t="s">
        <v>1406</v>
      </c>
      <c r="V1091" s="1"/>
    </row>
    <row r="1092" spans="21:22" x14ac:dyDescent="0.3">
      <c r="U1092" s="1" t="s">
        <v>1407</v>
      </c>
      <c r="V1092" s="1"/>
    </row>
    <row r="1093" spans="21:22" x14ac:dyDescent="0.3">
      <c r="U1093" s="1" t="s">
        <v>1408</v>
      </c>
      <c r="V1093" s="1"/>
    </row>
    <row r="1094" spans="21:22" x14ac:dyDescent="0.3">
      <c r="U1094" s="1" t="s">
        <v>1409</v>
      </c>
      <c r="V1094" s="1"/>
    </row>
    <row r="1095" spans="21:22" x14ac:dyDescent="0.3">
      <c r="U1095" s="1" t="s">
        <v>1410</v>
      </c>
      <c r="V1095" s="1"/>
    </row>
    <row r="1096" spans="21:22" x14ac:dyDescent="0.3">
      <c r="U1096" s="1" t="s">
        <v>1411</v>
      </c>
      <c r="V1096" s="1"/>
    </row>
    <row r="1097" spans="21:22" x14ac:dyDescent="0.3">
      <c r="U1097" s="1" t="s">
        <v>1412</v>
      </c>
      <c r="V1097" s="1"/>
    </row>
    <row r="1098" spans="21:22" x14ac:dyDescent="0.3">
      <c r="U1098" s="1" t="s">
        <v>1413</v>
      </c>
      <c r="V1098" s="1"/>
    </row>
    <row r="1099" spans="21:22" x14ac:dyDescent="0.3">
      <c r="U1099" s="1" t="s">
        <v>1414</v>
      </c>
      <c r="V1099" s="1"/>
    </row>
    <row r="1100" spans="21:22" x14ac:dyDescent="0.3">
      <c r="U1100" s="1" t="s">
        <v>1415</v>
      </c>
      <c r="V1100" s="1"/>
    </row>
    <row r="1101" spans="21:22" x14ac:dyDescent="0.3">
      <c r="U1101" s="1" t="s">
        <v>1416</v>
      </c>
      <c r="V1101" s="1"/>
    </row>
    <row r="1102" spans="21:22" x14ac:dyDescent="0.3">
      <c r="U1102" s="1" t="s">
        <v>1417</v>
      </c>
      <c r="V1102" s="1"/>
    </row>
    <row r="1103" spans="21:22" x14ac:dyDescent="0.3">
      <c r="U1103" s="1" t="s">
        <v>1418</v>
      </c>
      <c r="V1103" s="1"/>
    </row>
    <row r="1104" spans="21:22" x14ac:dyDescent="0.3">
      <c r="U1104" s="1" t="s">
        <v>1419</v>
      </c>
      <c r="V1104" s="1"/>
    </row>
    <row r="1105" spans="21:22" x14ac:dyDescent="0.3">
      <c r="U1105" s="1" t="s">
        <v>1420</v>
      </c>
      <c r="V1105" s="1"/>
    </row>
    <row r="1106" spans="21:22" x14ac:dyDescent="0.3">
      <c r="U1106" s="1" t="s">
        <v>1421</v>
      </c>
      <c r="V1106" s="1"/>
    </row>
    <row r="1107" spans="21:22" x14ac:dyDescent="0.3">
      <c r="U1107" s="1" t="s">
        <v>1422</v>
      </c>
      <c r="V1107" s="1"/>
    </row>
    <row r="1108" spans="21:22" x14ac:dyDescent="0.3">
      <c r="U1108" s="1" t="s">
        <v>1423</v>
      </c>
      <c r="V1108" s="1"/>
    </row>
    <row r="1109" spans="21:22" x14ac:dyDescent="0.3">
      <c r="U1109" s="1" t="s">
        <v>1424</v>
      </c>
      <c r="V1109" s="1"/>
    </row>
    <row r="1110" spans="21:22" x14ac:dyDescent="0.3">
      <c r="U1110" s="1" t="s">
        <v>1425</v>
      </c>
      <c r="V1110" s="1"/>
    </row>
    <row r="1111" spans="21:22" x14ac:dyDescent="0.3">
      <c r="U1111" s="1" t="s">
        <v>1426</v>
      </c>
      <c r="V1111" s="1"/>
    </row>
    <row r="1112" spans="21:22" x14ac:dyDescent="0.3">
      <c r="U1112" s="1" t="s">
        <v>1427</v>
      </c>
      <c r="V1112" s="1"/>
    </row>
    <row r="1113" spans="21:22" x14ac:dyDescent="0.3">
      <c r="U1113" s="1" t="s">
        <v>1428</v>
      </c>
      <c r="V1113" s="1"/>
    </row>
    <row r="1114" spans="21:22" x14ac:dyDescent="0.3">
      <c r="U1114" s="1" t="s">
        <v>1429</v>
      </c>
      <c r="V1114" s="1"/>
    </row>
    <row r="1115" spans="21:22" x14ac:dyDescent="0.3">
      <c r="U1115" s="1" t="s">
        <v>1430</v>
      </c>
      <c r="V1115" s="1"/>
    </row>
    <row r="1116" spans="21:22" x14ac:dyDescent="0.3">
      <c r="U1116" s="1" t="s">
        <v>1431</v>
      </c>
      <c r="V1116" s="1"/>
    </row>
    <row r="1117" spans="21:22" x14ac:dyDescent="0.3">
      <c r="U1117" s="1" t="s">
        <v>1432</v>
      </c>
      <c r="V1117" s="1"/>
    </row>
    <row r="1118" spans="21:22" x14ac:dyDescent="0.3">
      <c r="U1118" s="1" t="s">
        <v>1433</v>
      </c>
      <c r="V1118" s="1"/>
    </row>
    <row r="1119" spans="21:22" x14ac:dyDescent="0.3">
      <c r="U1119" s="1" t="s">
        <v>1434</v>
      </c>
      <c r="V1119" s="1"/>
    </row>
    <row r="1120" spans="21:22" x14ac:dyDescent="0.3">
      <c r="U1120" s="1" t="s">
        <v>1435</v>
      </c>
      <c r="V1120" s="1"/>
    </row>
    <row r="1121" spans="21:22" x14ac:dyDescent="0.3">
      <c r="U1121" s="1" t="s">
        <v>1436</v>
      </c>
      <c r="V1121" s="1"/>
    </row>
    <row r="1122" spans="21:22" x14ac:dyDescent="0.3">
      <c r="U1122" s="1" t="s">
        <v>1437</v>
      </c>
      <c r="V1122" s="1"/>
    </row>
    <row r="1123" spans="21:22" x14ac:dyDescent="0.3">
      <c r="U1123" s="1" t="s">
        <v>1438</v>
      </c>
      <c r="V1123" s="1"/>
    </row>
    <row r="1124" spans="21:22" x14ac:dyDescent="0.3">
      <c r="U1124" s="1" t="s">
        <v>1439</v>
      </c>
      <c r="V1124" s="1"/>
    </row>
    <row r="1125" spans="21:22" x14ac:dyDescent="0.3">
      <c r="U1125" s="1" t="s">
        <v>1440</v>
      </c>
      <c r="V1125" s="1"/>
    </row>
    <row r="1126" spans="21:22" x14ac:dyDescent="0.3">
      <c r="U1126" s="1" t="s">
        <v>1441</v>
      </c>
      <c r="V1126" s="1"/>
    </row>
    <row r="1127" spans="21:22" x14ac:dyDescent="0.3">
      <c r="U1127" s="1" t="s">
        <v>1442</v>
      </c>
      <c r="V1127" s="1"/>
    </row>
    <row r="1128" spans="21:22" x14ac:dyDescent="0.3">
      <c r="U1128" s="1" t="s">
        <v>1443</v>
      </c>
      <c r="V1128" s="1"/>
    </row>
    <row r="1129" spans="21:22" x14ac:dyDescent="0.3">
      <c r="U1129" s="1" t="s">
        <v>1444</v>
      </c>
      <c r="V1129" s="1"/>
    </row>
    <row r="1130" spans="21:22" x14ac:dyDescent="0.3">
      <c r="U1130" s="1" t="s">
        <v>1445</v>
      </c>
      <c r="V1130" s="1"/>
    </row>
    <row r="1131" spans="21:22" x14ac:dyDescent="0.3">
      <c r="U1131" s="1" t="s">
        <v>1446</v>
      </c>
      <c r="V1131" s="1"/>
    </row>
    <row r="1132" spans="21:22" x14ac:dyDescent="0.3">
      <c r="U1132" s="1" t="s">
        <v>1447</v>
      </c>
      <c r="V1132" s="1"/>
    </row>
    <row r="1133" spans="21:22" x14ac:dyDescent="0.3">
      <c r="U1133" s="1" t="s">
        <v>1448</v>
      </c>
      <c r="V1133" s="1"/>
    </row>
    <row r="1134" spans="21:22" x14ac:dyDescent="0.3">
      <c r="U1134" s="1" t="s">
        <v>1449</v>
      </c>
      <c r="V1134" s="1"/>
    </row>
    <row r="1135" spans="21:22" x14ac:dyDescent="0.3">
      <c r="U1135" s="1" t="s">
        <v>1450</v>
      </c>
      <c r="V1135" s="1"/>
    </row>
    <row r="1136" spans="21:22" x14ac:dyDescent="0.3">
      <c r="U1136" s="1" t="s">
        <v>1451</v>
      </c>
      <c r="V1136" s="1"/>
    </row>
    <row r="1137" spans="21:22" x14ac:dyDescent="0.3">
      <c r="U1137" s="1" t="s">
        <v>1452</v>
      </c>
      <c r="V1137" s="1"/>
    </row>
    <row r="1138" spans="21:22" x14ac:dyDescent="0.3">
      <c r="U1138" s="1" t="s">
        <v>1453</v>
      </c>
      <c r="V1138" s="1"/>
    </row>
    <row r="1139" spans="21:22" x14ac:dyDescent="0.3">
      <c r="U1139" s="1" t="s">
        <v>1454</v>
      </c>
      <c r="V1139" s="1"/>
    </row>
    <row r="1140" spans="21:22" x14ac:dyDescent="0.3">
      <c r="U1140" s="1" t="s">
        <v>1455</v>
      </c>
      <c r="V1140" s="1"/>
    </row>
    <row r="1141" spans="21:22" x14ac:dyDescent="0.3">
      <c r="U1141" s="1" t="s">
        <v>1456</v>
      </c>
      <c r="V1141" s="1"/>
    </row>
    <row r="1142" spans="21:22" x14ac:dyDescent="0.3">
      <c r="U1142" s="1" t="s">
        <v>1457</v>
      </c>
      <c r="V1142" s="1"/>
    </row>
    <row r="1143" spans="21:22" x14ac:dyDescent="0.3">
      <c r="U1143" s="1" t="s">
        <v>1458</v>
      </c>
      <c r="V1143" s="1"/>
    </row>
    <row r="1144" spans="21:22" x14ac:dyDescent="0.3">
      <c r="U1144" s="1" t="s">
        <v>1459</v>
      </c>
      <c r="V1144" s="1"/>
    </row>
    <row r="1145" spans="21:22" x14ac:dyDescent="0.3">
      <c r="U1145" s="1" t="s">
        <v>1460</v>
      </c>
      <c r="V1145" s="1"/>
    </row>
    <row r="1146" spans="21:22" x14ac:dyDescent="0.3">
      <c r="U1146" s="1" t="s">
        <v>1461</v>
      </c>
      <c r="V1146" s="1"/>
    </row>
    <row r="1147" spans="21:22" x14ac:dyDescent="0.3">
      <c r="U1147" s="1" t="s">
        <v>1462</v>
      </c>
      <c r="V1147" s="1"/>
    </row>
    <row r="1148" spans="21:22" x14ac:dyDescent="0.3">
      <c r="U1148" s="1" t="s">
        <v>1463</v>
      </c>
      <c r="V1148" s="1"/>
    </row>
    <row r="1149" spans="21:22" x14ac:dyDescent="0.3">
      <c r="U1149" s="1" t="s">
        <v>1464</v>
      </c>
      <c r="V1149" s="1"/>
    </row>
    <row r="1150" spans="21:22" x14ac:dyDescent="0.3">
      <c r="U1150" s="1" t="s">
        <v>1465</v>
      </c>
      <c r="V1150" s="1"/>
    </row>
    <row r="1151" spans="21:22" x14ac:dyDescent="0.3">
      <c r="U1151" s="1" t="s">
        <v>1466</v>
      </c>
      <c r="V1151" s="1"/>
    </row>
    <row r="1152" spans="21:22" x14ac:dyDescent="0.3">
      <c r="U1152" s="1" t="s">
        <v>1467</v>
      </c>
      <c r="V1152" s="1"/>
    </row>
    <row r="1153" spans="21:22" x14ac:dyDescent="0.3">
      <c r="U1153" s="1" t="s">
        <v>1468</v>
      </c>
      <c r="V1153" s="1"/>
    </row>
    <row r="1154" spans="21:22" x14ac:dyDescent="0.3">
      <c r="U1154" s="1" t="s">
        <v>1469</v>
      </c>
      <c r="V1154" s="1"/>
    </row>
    <row r="1155" spans="21:22" x14ac:dyDescent="0.3">
      <c r="U1155" s="1" t="s">
        <v>1470</v>
      </c>
      <c r="V1155" s="1"/>
    </row>
    <row r="1156" spans="21:22" x14ac:dyDescent="0.3">
      <c r="U1156" s="1" t="s">
        <v>1471</v>
      </c>
      <c r="V1156" s="1"/>
    </row>
    <row r="1157" spans="21:22" x14ac:dyDescent="0.3">
      <c r="U1157" s="1" t="s">
        <v>1472</v>
      </c>
      <c r="V1157" s="1"/>
    </row>
    <row r="1158" spans="21:22" x14ac:dyDescent="0.3">
      <c r="U1158" s="1" t="s">
        <v>1473</v>
      </c>
      <c r="V1158" s="1"/>
    </row>
    <row r="1159" spans="21:22" x14ac:dyDescent="0.3">
      <c r="U1159" s="1" t="s">
        <v>1474</v>
      </c>
      <c r="V1159" s="1"/>
    </row>
    <row r="1160" spans="21:22" x14ac:dyDescent="0.3">
      <c r="U1160" s="1" t="s">
        <v>1475</v>
      </c>
      <c r="V1160" s="1"/>
    </row>
    <row r="1161" spans="21:22" x14ac:dyDescent="0.3">
      <c r="U1161" s="1" t="s">
        <v>1476</v>
      </c>
      <c r="V1161" s="1"/>
    </row>
    <row r="1162" spans="21:22" x14ac:dyDescent="0.3">
      <c r="U1162" s="1" t="s">
        <v>1477</v>
      </c>
      <c r="V1162" s="1"/>
    </row>
    <row r="1163" spans="21:22" x14ac:dyDescent="0.3">
      <c r="U1163" s="1" t="s">
        <v>1478</v>
      </c>
      <c r="V1163" s="1"/>
    </row>
    <row r="1164" spans="21:22" x14ac:dyDescent="0.3">
      <c r="U1164" s="1" t="s">
        <v>1479</v>
      </c>
      <c r="V1164" s="1"/>
    </row>
    <row r="1165" spans="21:22" x14ac:dyDescent="0.3">
      <c r="U1165" s="1" t="s">
        <v>1480</v>
      </c>
      <c r="V1165" s="1"/>
    </row>
    <row r="1166" spans="21:22" x14ac:dyDescent="0.3">
      <c r="U1166" s="1" t="s">
        <v>1481</v>
      </c>
      <c r="V1166" s="1"/>
    </row>
    <row r="1167" spans="21:22" x14ac:dyDescent="0.3">
      <c r="U1167" s="1" t="s">
        <v>1482</v>
      </c>
      <c r="V1167" s="1"/>
    </row>
    <row r="1168" spans="21:22" x14ac:dyDescent="0.3">
      <c r="U1168" s="1" t="s">
        <v>1483</v>
      </c>
      <c r="V1168" s="1"/>
    </row>
    <row r="1169" spans="21:22" x14ac:dyDescent="0.3">
      <c r="U1169" s="1" t="s">
        <v>1484</v>
      </c>
      <c r="V1169" s="1"/>
    </row>
    <row r="1170" spans="21:22" x14ac:dyDescent="0.3">
      <c r="U1170" s="1" t="s">
        <v>1485</v>
      </c>
      <c r="V1170" s="1"/>
    </row>
    <row r="1171" spans="21:22" x14ac:dyDescent="0.3">
      <c r="U1171" s="1" t="s">
        <v>1486</v>
      </c>
      <c r="V1171" s="1"/>
    </row>
    <row r="1172" spans="21:22" x14ac:dyDescent="0.3">
      <c r="U1172" s="1" t="s">
        <v>1487</v>
      </c>
      <c r="V1172" s="1"/>
    </row>
    <row r="1173" spans="21:22" x14ac:dyDescent="0.3">
      <c r="U1173" s="1" t="s">
        <v>1488</v>
      </c>
      <c r="V1173" s="1"/>
    </row>
    <row r="1174" spans="21:22" x14ac:dyDescent="0.3">
      <c r="U1174" s="1" t="s">
        <v>1489</v>
      </c>
      <c r="V1174" s="1"/>
    </row>
    <row r="1175" spans="21:22" x14ac:dyDescent="0.3">
      <c r="U1175" s="1" t="s">
        <v>1490</v>
      </c>
      <c r="V1175" s="1"/>
    </row>
    <row r="1176" spans="21:22" x14ac:dyDescent="0.3">
      <c r="U1176" s="1" t="s">
        <v>1491</v>
      </c>
      <c r="V1176" s="1"/>
    </row>
    <row r="1177" spans="21:22" x14ac:dyDescent="0.3">
      <c r="U1177" s="1" t="s">
        <v>1492</v>
      </c>
      <c r="V1177" s="1"/>
    </row>
    <row r="1178" spans="21:22" x14ac:dyDescent="0.3">
      <c r="U1178" s="1" t="s">
        <v>1493</v>
      </c>
      <c r="V1178" s="1"/>
    </row>
    <row r="1179" spans="21:22" x14ac:dyDescent="0.3">
      <c r="U1179" s="1" t="s">
        <v>1494</v>
      </c>
      <c r="V1179" s="1"/>
    </row>
    <row r="1180" spans="21:22" x14ac:dyDescent="0.3">
      <c r="U1180" s="1" t="s">
        <v>1495</v>
      </c>
      <c r="V1180" s="1"/>
    </row>
    <row r="1181" spans="21:22" x14ac:dyDescent="0.3">
      <c r="U1181" s="1" t="s">
        <v>1496</v>
      </c>
      <c r="V1181" s="1"/>
    </row>
    <row r="1182" spans="21:22" x14ac:dyDescent="0.3">
      <c r="U1182" s="1" t="s">
        <v>1497</v>
      </c>
      <c r="V1182" s="1"/>
    </row>
    <row r="1183" spans="21:22" x14ac:dyDescent="0.3">
      <c r="U1183" s="1" t="s">
        <v>1498</v>
      </c>
      <c r="V1183" s="1"/>
    </row>
    <row r="1184" spans="21:22" x14ac:dyDescent="0.3">
      <c r="U1184" s="1" t="s">
        <v>1499</v>
      </c>
      <c r="V1184" s="1"/>
    </row>
    <row r="1185" spans="21:22" x14ac:dyDescent="0.3">
      <c r="U1185" s="1" t="s">
        <v>1500</v>
      </c>
      <c r="V1185" s="1"/>
    </row>
    <row r="1186" spans="21:22" x14ac:dyDescent="0.3">
      <c r="U1186" s="1" t="s">
        <v>1501</v>
      </c>
      <c r="V1186" s="1"/>
    </row>
    <row r="1187" spans="21:22" x14ac:dyDescent="0.3">
      <c r="U1187" s="1" t="s">
        <v>1502</v>
      </c>
      <c r="V1187" s="1"/>
    </row>
    <row r="1188" spans="21:22" x14ac:dyDescent="0.3">
      <c r="U1188" s="1" t="s">
        <v>1503</v>
      </c>
      <c r="V1188" s="1"/>
    </row>
    <row r="1189" spans="21:22" x14ac:dyDescent="0.3">
      <c r="U1189" s="1" t="s">
        <v>1504</v>
      </c>
      <c r="V1189" s="1"/>
    </row>
    <row r="1190" spans="21:22" x14ac:dyDescent="0.3">
      <c r="U1190" s="1" t="s">
        <v>1505</v>
      </c>
      <c r="V1190" s="1"/>
    </row>
    <row r="1191" spans="21:22" x14ac:dyDescent="0.3">
      <c r="U1191" s="1" t="s">
        <v>1506</v>
      </c>
      <c r="V1191" s="1"/>
    </row>
    <row r="1192" spans="21:22" x14ac:dyDescent="0.3">
      <c r="U1192" s="1" t="s">
        <v>1507</v>
      </c>
      <c r="V1192" s="1"/>
    </row>
    <row r="1193" spans="21:22" x14ac:dyDescent="0.3">
      <c r="U1193" s="1" t="s">
        <v>1508</v>
      </c>
      <c r="V1193" s="1"/>
    </row>
    <row r="1194" spans="21:22" x14ac:dyDescent="0.3">
      <c r="U1194" s="1" t="s">
        <v>1509</v>
      </c>
      <c r="V1194" s="1"/>
    </row>
    <row r="1195" spans="21:22" x14ac:dyDescent="0.3">
      <c r="U1195" s="1" t="s">
        <v>1510</v>
      </c>
      <c r="V1195" s="1"/>
    </row>
    <row r="1196" spans="21:22" x14ac:dyDescent="0.3">
      <c r="U1196" s="1" t="s">
        <v>1511</v>
      </c>
      <c r="V1196" s="1"/>
    </row>
    <row r="1197" spans="21:22" x14ac:dyDescent="0.3">
      <c r="U1197" s="1" t="s">
        <v>1512</v>
      </c>
      <c r="V1197" s="1"/>
    </row>
    <row r="1198" spans="21:22" x14ac:dyDescent="0.3">
      <c r="U1198" s="1" t="s">
        <v>1513</v>
      </c>
      <c r="V1198" s="1"/>
    </row>
    <row r="1199" spans="21:22" x14ac:dyDescent="0.3">
      <c r="U1199" s="1" t="s">
        <v>1514</v>
      </c>
      <c r="V1199" s="1"/>
    </row>
    <row r="1200" spans="21:22" x14ac:dyDescent="0.3">
      <c r="U1200" s="1" t="s">
        <v>1515</v>
      </c>
      <c r="V1200" s="1"/>
    </row>
    <row r="1201" spans="21:22" x14ac:dyDescent="0.3">
      <c r="U1201" s="1" t="s">
        <v>1516</v>
      </c>
      <c r="V1201" s="1"/>
    </row>
    <row r="1202" spans="21:22" x14ac:dyDescent="0.3">
      <c r="U1202" s="1" t="s">
        <v>1517</v>
      </c>
      <c r="V1202" s="1"/>
    </row>
    <row r="1203" spans="21:22" x14ac:dyDescent="0.3">
      <c r="U1203" s="1" t="s">
        <v>1518</v>
      </c>
      <c r="V1203" s="1"/>
    </row>
    <row r="1204" spans="21:22" x14ac:dyDescent="0.3">
      <c r="U1204" s="1" t="s">
        <v>1519</v>
      </c>
      <c r="V1204" s="1"/>
    </row>
    <row r="1205" spans="21:22" x14ac:dyDescent="0.3">
      <c r="U1205" s="1" t="s">
        <v>1520</v>
      </c>
      <c r="V1205" s="1"/>
    </row>
    <row r="1206" spans="21:22" x14ac:dyDescent="0.3">
      <c r="U1206" s="1" t="s">
        <v>1521</v>
      </c>
      <c r="V1206" s="1"/>
    </row>
    <row r="1207" spans="21:22" x14ac:dyDescent="0.3">
      <c r="U1207" s="1" t="s">
        <v>1522</v>
      </c>
      <c r="V1207" s="1"/>
    </row>
    <row r="1208" spans="21:22" x14ac:dyDescent="0.3">
      <c r="U1208" s="1" t="s">
        <v>1523</v>
      </c>
      <c r="V1208" s="1"/>
    </row>
    <row r="1209" spans="21:22" x14ac:dyDescent="0.3">
      <c r="U1209" s="1" t="s">
        <v>1524</v>
      </c>
      <c r="V1209" s="1"/>
    </row>
    <row r="1210" spans="21:22" x14ac:dyDescent="0.3">
      <c r="U1210" s="1" t="s">
        <v>1525</v>
      </c>
      <c r="V1210" s="1"/>
    </row>
    <row r="1211" spans="21:22" x14ac:dyDescent="0.3">
      <c r="U1211" s="1" t="s">
        <v>1526</v>
      </c>
      <c r="V1211" s="1"/>
    </row>
    <row r="1212" spans="21:22" x14ac:dyDescent="0.3">
      <c r="U1212" s="1" t="s">
        <v>1527</v>
      </c>
      <c r="V1212" s="1"/>
    </row>
    <row r="1213" spans="21:22" x14ac:dyDescent="0.3">
      <c r="U1213" s="1" t="s">
        <v>1528</v>
      </c>
      <c r="V1213" s="1"/>
    </row>
    <row r="1214" spans="21:22" x14ac:dyDescent="0.3">
      <c r="U1214" s="1" t="s">
        <v>1529</v>
      </c>
      <c r="V1214" s="1"/>
    </row>
    <row r="1215" spans="21:22" x14ac:dyDescent="0.3">
      <c r="U1215" s="1" t="s">
        <v>1530</v>
      </c>
      <c r="V1215" s="1"/>
    </row>
    <row r="1216" spans="21:22" x14ac:dyDescent="0.3">
      <c r="U1216" s="1" t="s">
        <v>1531</v>
      </c>
      <c r="V1216" s="1"/>
    </row>
    <row r="1217" spans="21:22" x14ac:dyDescent="0.3">
      <c r="U1217" s="1" t="s">
        <v>1532</v>
      </c>
      <c r="V1217" s="1"/>
    </row>
    <row r="1218" spans="21:22" x14ac:dyDescent="0.3">
      <c r="U1218" s="1" t="s">
        <v>1533</v>
      </c>
      <c r="V1218" s="1"/>
    </row>
    <row r="1219" spans="21:22" x14ac:dyDescent="0.3">
      <c r="U1219" s="1" t="s">
        <v>1534</v>
      </c>
      <c r="V1219" s="1"/>
    </row>
    <row r="1220" spans="21:22" x14ac:dyDescent="0.3">
      <c r="U1220" s="1" t="s">
        <v>1535</v>
      </c>
      <c r="V1220" s="1"/>
    </row>
    <row r="1221" spans="21:22" x14ac:dyDescent="0.3">
      <c r="U1221" s="1" t="s">
        <v>1536</v>
      </c>
      <c r="V1221" s="1"/>
    </row>
    <row r="1222" spans="21:22" x14ac:dyDescent="0.3">
      <c r="U1222" s="1" t="s">
        <v>1537</v>
      </c>
      <c r="V1222" s="1"/>
    </row>
    <row r="1223" spans="21:22" x14ac:dyDescent="0.3">
      <c r="U1223" s="1" t="s">
        <v>1538</v>
      </c>
      <c r="V1223" s="1"/>
    </row>
    <row r="1224" spans="21:22" x14ac:dyDescent="0.3">
      <c r="U1224" s="1" t="s">
        <v>1539</v>
      </c>
      <c r="V1224" s="1"/>
    </row>
    <row r="1225" spans="21:22" x14ac:dyDescent="0.3">
      <c r="U1225" s="1" t="s">
        <v>1540</v>
      </c>
      <c r="V1225" s="1"/>
    </row>
    <row r="1226" spans="21:22" x14ac:dyDescent="0.3">
      <c r="U1226" s="1" t="s">
        <v>1541</v>
      </c>
      <c r="V1226" s="1"/>
    </row>
    <row r="1227" spans="21:22" x14ac:dyDescent="0.3">
      <c r="U1227" s="1" t="s">
        <v>1542</v>
      </c>
      <c r="V1227" s="1"/>
    </row>
    <row r="1228" spans="21:22" x14ac:dyDescent="0.3">
      <c r="U1228" s="1" t="s">
        <v>1543</v>
      </c>
      <c r="V1228" s="1"/>
    </row>
    <row r="1229" spans="21:22" x14ac:dyDescent="0.3">
      <c r="U1229" s="1" t="s">
        <v>1544</v>
      </c>
      <c r="V1229" s="1"/>
    </row>
    <row r="1230" spans="21:22" x14ac:dyDescent="0.3">
      <c r="U1230" s="1" t="s">
        <v>1545</v>
      </c>
      <c r="V1230" s="1"/>
    </row>
    <row r="1231" spans="21:22" x14ac:dyDescent="0.3">
      <c r="U1231" s="1" t="s">
        <v>1546</v>
      </c>
      <c r="V1231" s="1"/>
    </row>
    <row r="1232" spans="21:22" x14ac:dyDescent="0.3">
      <c r="U1232" s="1" t="s">
        <v>1547</v>
      </c>
      <c r="V1232" s="1"/>
    </row>
    <row r="1233" spans="21:22" x14ac:dyDescent="0.3">
      <c r="U1233" s="1" t="s">
        <v>1548</v>
      </c>
      <c r="V1233" s="1"/>
    </row>
    <row r="1234" spans="21:22" x14ac:dyDescent="0.3">
      <c r="U1234" s="1" t="s">
        <v>1549</v>
      </c>
      <c r="V1234" s="1"/>
    </row>
    <row r="1235" spans="21:22" x14ac:dyDescent="0.3">
      <c r="U1235" s="1" t="s">
        <v>1550</v>
      </c>
      <c r="V1235" s="1"/>
    </row>
    <row r="1236" spans="21:22" x14ac:dyDescent="0.3">
      <c r="U1236" s="1" t="s">
        <v>1551</v>
      </c>
      <c r="V1236" s="1"/>
    </row>
    <row r="1237" spans="21:22" x14ac:dyDescent="0.3">
      <c r="U1237" s="1" t="s">
        <v>1552</v>
      </c>
      <c r="V1237" s="1"/>
    </row>
    <row r="1238" spans="21:22" x14ac:dyDescent="0.3">
      <c r="U1238" s="1" t="s">
        <v>1553</v>
      </c>
      <c r="V1238" s="1"/>
    </row>
    <row r="1239" spans="21:22" x14ac:dyDescent="0.3">
      <c r="U1239" s="1" t="s">
        <v>1554</v>
      </c>
      <c r="V1239" s="1"/>
    </row>
    <row r="1240" spans="21:22" x14ac:dyDescent="0.3">
      <c r="U1240" s="1" t="s">
        <v>1555</v>
      </c>
      <c r="V1240" s="1"/>
    </row>
    <row r="1241" spans="21:22" x14ac:dyDescent="0.3">
      <c r="U1241" s="1" t="s">
        <v>1556</v>
      </c>
      <c r="V1241" s="1"/>
    </row>
    <row r="1242" spans="21:22" x14ac:dyDescent="0.3">
      <c r="U1242" s="1" t="s">
        <v>1557</v>
      </c>
      <c r="V1242" s="1"/>
    </row>
    <row r="1243" spans="21:22" x14ac:dyDescent="0.3">
      <c r="U1243" s="1" t="s">
        <v>1558</v>
      </c>
      <c r="V1243" s="1"/>
    </row>
    <row r="1244" spans="21:22" x14ac:dyDescent="0.3">
      <c r="U1244" s="1" t="s">
        <v>1559</v>
      </c>
      <c r="V1244" s="1"/>
    </row>
    <row r="1245" spans="21:22" x14ac:dyDescent="0.3">
      <c r="U1245" s="1" t="s">
        <v>1560</v>
      </c>
      <c r="V1245" s="1"/>
    </row>
    <row r="1246" spans="21:22" x14ac:dyDescent="0.3">
      <c r="U1246" s="1" t="s">
        <v>1561</v>
      </c>
      <c r="V1246" s="1"/>
    </row>
    <row r="1247" spans="21:22" x14ac:dyDescent="0.3">
      <c r="U1247" s="1" t="s">
        <v>1562</v>
      </c>
      <c r="V1247" s="1"/>
    </row>
    <row r="1248" spans="21:22" x14ac:dyDescent="0.3">
      <c r="U1248" s="1" t="s">
        <v>1563</v>
      </c>
      <c r="V1248" s="1"/>
    </row>
    <row r="1249" spans="21:22" x14ac:dyDescent="0.3">
      <c r="U1249" s="1" t="s">
        <v>1564</v>
      </c>
      <c r="V1249" s="1"/>
    </row>
    <row r="1250" spans="21:22" x14ac:dyDescent="0.3">
      <c r="U1250" s="1" t="s">
        <v>1565</v>
      </c>
      <c r="V1250" s="1"/>
    </row>
    <row r="1251" spans="21:22" x14ac:dyDescent="0.3">
      <c r="U1251" s="1" t="s">
        <v>1566</v>
      </c>
      <c r="V1251" s="1"/>
    </row>
    <row r="1252" spans="21:22" x14ac:dyDescent="0.3">
      <c r="U1252" s="1" t="s">
        <v>1567</v>
      </c>
      <c r="V1252" s="1"/>
    </row>
    <row r="1253" spans="21:22" x14ac:dyDescent="0.3">
      <c r="U1253" s="1" t="s">
        <v>1568</v>
      </c>
      <c r="V1253" s="1"/>
    </row>
    <row r="1254" spans="21:22" x14ac:dyDescent="0.3">
      <c r="U1254" s="1" t="s">
        <v>1569</v>
      </c>
      <c r="V1254" s="1"/>
    </row>
    <row r="1255" spans="21:22" x14ac:dyDescent="0.3">
      <c r="U1255" s="1" t="s">
        <v>1570</v>
      </c>
      <c r="V1255" s="1"/>
    </row>
    <row r="1256" spans="21:22" x14ac:dyDescent="0.3">
      <c r="U1256" s="1" t="s">
        <v>1571</v>
      </c>
      <c r="V1256" s="1"/>
    </row>
    <row r="1257" spans="21:22" x14ac:dyDescent="0.3">
      <c r="U1257" s="1" t="s">
        <v>1572</v>
      </c>
      <c r="V1257" s="1"/>
    </row>
    <row r="1258" spans="21:22" x14ac:dyDescent="0.3">
      <c r="U1258" s="1" t="s">
        <v>1573</v>
      </c>
      <c r="V1258" s="1"/>
    </row>
    <row r="1259" spans="21:22" x14ac:dyDescent="0.3">
      <c r="U1259" s="1" t="s">
        <v>1574</v>
      </c>
      <c r="V1259" s="1"/>
    </row>
    <row r="1260" spans="21:22" x14ac:dyDescent="0.3">
      <c r="U1260" s="1" t="s">
        <v>1575</v>
      </c>
      <c r="V1260" s="1"/>
    </row>
    <row r="1261" spans="21:22" x14ac:dyDescent="0.3">
      <c r="U1261" s="1" t="s">
        <v>1576</v>
      </c>
      <c r="V1261" s="1"/>
    </row>
    <row r="1262" spans="21:22" x14ac:dyDescent="0.3">
      <c r="U1262" s="1" t="s">
        <v>1577</v>
      </c>
      <c r="V1262" s="1"/>
    </row>
    <row r="1263" spans="21:22" x14ac:dyDescent="0.3">
      <c r="U1263" s="1" t="s">
        <v>1578</v>
      </c>
      <c r="V1263" s="1"/>
    </row>
    <row r="1264" spans="21:22" x14ac:dyDescent="0.3">
      <c r="U1264" s="1" t="s">
        <v>1579</v>
      </c>
      <c r="V1264" s="1"/>
    </row>
    <row r="1265" spans="21:22" x14ac:dyDescent="0.3">
      <c r="U1265" s="1" t="s">
        <v>1580</v>
      </c>
      <c r="V1265" s="1"/>
    </row>
    <row r="1266" spans="21:22" x14ac:dyDescent="0.3">
      <c r="U1266" s="1" t="s">
        <v>1581</v>
      </c>
      <c r="V1266" s="1"/>
    </row>
    <row r="1267" spans="21:22" x14ac:dyDescent="0.3">
      <c r="U1267" s="1" t="s">
        <v>1582</v>
      </c>
      <c r="V1267" s="1"/>
    </row>
    <row r="1268" spans="21:22" x14ac:dyDescent="0.3">
      <c r="U1268" s="1" t="s">
        <v>1583</v>
      </c>
      <c r="V1268" s="1"/>
    </row>
    <row r="1269" spans="21:22" x14ac:dyDescent="0.3">
      <c r="U1269" s="1" t="s">
        <v>1584</v>
      </c>
      <c r="V1269" s="1"/>
    </row>
    <row r="1270" spans="21:22" x14ac:dyDescent="0.3">
      <c r="U1270" s="1" t="s">
        <v>1585</v>
      </c>
      <c r="V1270" s="1"/>
    </row>
    <row r="1271" spans="21:22" x14ac:dyDescent="0.3">
      <c r="U1271" s="1" t="s">
        <v>1586</v>
      </c>
      <c r="V1271" s="1"/>
    </row>
    <row r="1272" spans="21:22" x14ac:dyDescent="0.3">
      <c r="U1272" s="1" t="s">
        <v>1587</v>
      </c>
      <c r="V1272" s="1"/>
    </row>
    <row r="1273" spans="21:22" x14ac:dyDescent="0.3">
      <c r="U1273" s="1" t="s">
        <v>1588</v>
      </c>
      <c r="V1273" s="1"/>
    </row>
    <row r="1274" spans="21:22" x14ac:dyDescent="0.3">
      <c r="U1274" s="1" t="s">
        <v>1589</v>
      </c>
      <c r="V1274" s="1"/>
    </row>
    <row r="1275" spans="21:22" x14ac:dyDescent="0.3">
      <c r="U1275" s="1" t="s">
        <v>1590</v>
      </c>
      <c r="V1275" s="1"/>
    </row>
    <row r="1276" spans="21:22" x14ac:dyDescent="0.3">
      <c r="U1276" s="1" t="s">
        <v>1591</v>
      </c>
      <c r="V1276" s="1"/>
    </row>
    <row r="1277" spans="21:22" x14ac:dyDescent="0.3">
      <c r="U1277" s="1" t="s">
        <v>1592</v>
      </c>
      <c r="V1277" s="1"/>
    </row>
    <row r="1278" spans="21:22" x14ac:dyDescent="0.3">
      <c r="U1278" s="1" t="s">
        <v>1593</v>
      </c>
      <c r="V1278" s="1"/>
    </row>
    <row r="1279" spans="21:22" x14ac:dyDescent="0.3">
      <c r="U1279" s="1" t="s">
        <v>1594</v>
      </c>
      <c r="V1279" s="1"/>
    </row>
    <row r="1280" spans="21:22" x14ac:dyDescent="0.3">
      <c r="U1280" s="1" t="s">
        <v>1595</v>
      </c>
      <c r="V1280" s="1"/>
    </row>
    <row r="1281" spans="21:22" x14ac:dyDescent="0.3">
      <c r="U1281" s="1" t="s">
        <v>1596</v>
      </c>
      <c r="V1281" s="1"/>
    </row>
    <row r="1282" spans="21:22" x14ac:dyDescent="0.3">
      <c r="U1282" s="1" t="s">
        <v>1597</v>
      </c>
      <c r="V1282" s="1"/>
    </row>
    <row r="1283" spans="21:22" x14ac:dyDescent="0.3">
      <c r="U1283" s="1" t="s">
        <v>1598</v>
      </c>
      <c r="V1283" s="1"/>
    </row>
    <row r="1284" spans="21:22" x14ac:dyDescent="0.3">
      <c r="U1284" s="1" t="s">
        <v>1599</v>
      </c>
      <c r="V1284" s="1"/>
    </row>
    <row r="1285" spans="21:22" x14ac:dyDescent="0.3">
      <c r="U1285" s="1" t="s">
        <v>1600</v>
      </c>
      <c r="V1285" s="1"/>
    </row>
    <row r="1286" spans="21:22" x14ac:dyDescent="0.3">
      <c r="U1286" s="1" t="s">
        <v>1601</v>
      </c>
      <c r="V1286" s="1"/>
    </row>
    <row r="1287" spans="21:22" x14ac:dyDescent="0.3">
      <c r="U1287" s="1" t="s">
        <v>1602</v>
      </c>
      <c r="V1287" s="1"/>
    </row>
    <row r="1288" spans="21:22" x14ac:dyDescent="0.3">
      <c r="U1288" s="1" t="s">
        <v>1603</v>
      </c>
      <c r="V1288" s="1"/>
    </row>
    <row r="1289" spans="21:22" x14ac:dyDescent="0.3">
      <c r="U1289" s="1" t="s">
        <v>1604</v>
      </c>
      <c r="V1289" s="1"/>
    </row>
    <row r="1290" spans="21:22" x14ac:dyDescent="0.3">
      <c r="U1290" s="1" t="s">
        <v>1605</v>
      </c>
      <c r="V1290" s="1"/>
    </row>
    <row r="1291" spans="21:22" x14ac:dyDescent="0.3">
      <c r="U1291" s="1" t="s">
        <v>1606</v>
      </c>
      <c r="V1291" s="1"/>
    </row>
    <row r="1292" spans="21:22" x14ac:dyDescent="0.3">
      <c r="U1292" s="1" t="s">
        <v>1607</v>
      </c>
      <c r="V1292" s="1"/>
    </row>
    <row r="1293" spans="21:22" x14ac:dyDescent="0.3">
      <c r="U1293" s="1" t="s">
        <v>1608</v>
      </c>
      <c r="V1293" s="1"/>
    </row>
    <row r="1294" spans="21:22" x14ac:dyDescent="0.3">
      <c r="U1294" s="1" t="s">
        <v>1609</v>
      </c>
      <c r="V1294" s="1"/>
    </row>
    <row r="1295" spans="21:22" x14ac:dyDescent="0.3">
      <c r="U1295" s="1" t="s">
        <v>1610</v>
      </c>
      <c r="V1295" s="1"/>
    </row>
    <row r="1296" spans="21:22" x14ac:dyDescent="0.3">
      <c r="U1296" s="1" t="s">
        <v>1611</v>
      </c>
      <c r="V1296" s="1"/>
    </row>
    <row r="1297" spans="21:22" x14ac:dyDescent="0.3">
      <c r="U1297" s="1" t="s">
        <v>1612</v>
      </c>
      <c r="V1297" s="1"/>
    </row>
    <row r="1298" spans="21:22" x14ac:dyDescent="0.3">
      <c r="U1298" s="1" t="s">
        <v>1613</v>
      </c>
      <c r="V1298" s="1"/>
    </row>
    <row r="1299" spans="21:22" x14ac:dyDescent="0.3">
      <c r="U1299" s="1" t="s">
        <v>1614</v>
      </c>
      <c r="V1299" s="1"/>
    </row>
    <row r="1300" spans="21:22" x14ac:dyDescent="0.3">
      <c r="U1300" s="1" t="s">
        <v>1615</v>
      </c>
      <c r="V1300" s="1"/>
    </row>
    <row r="1301" spans="21:22" x14ac:dyDescent="0.3">
      <c r="U1301" s="1" t="s">
        <v>1616</v>
      </c>
      <c r="V1301" s="1"/>
    </row>
    <row r="1302" spans="21:22" x14ac:dyDescent="0.3">
      <c r="U1302" s="1" t="s">
        <v>1617</v>
      </c>
      <c r="V1302" s="1"/>
    </row>
    <row r="1303" spans="21:22" x14ac:dyDescent="0.3">
      <c r="U1303" s="1" t="s">
        <v>1618</v>
      </c>
      <c r="V1303" s="1"/>
    </row>
    <row r="1304" spans="21:22" x14ac:dyDescent="0.3">
      <c r="U1304" s="1" t="s">
        <v>1619</v>
      </c>
      <c r="V1304" s="1"/>
    </row>
    <row r="1305" spans="21:22" x14ac:dyDescent="0.3">
      <c r="U1305" s="1" t="s">
        <v>1620</v>
      </c>
      <c r="V1305" s="1"/>
    </row>
    <row r="1306" spans="21:22" x14ac:dyDescent="0.3">
      <c r="U1306" s="1" t="s">
        <v>1621</v>
      </c>
      <c r="V1306" s="1"/>
    </row>
    <row r="1307" spans="21:22" x14ac:dyDescent="0.3">
      <c r="U1307" s="1" t="s">
        <v>1622</v>
      </c>
      <c r="V1307" s="1"/>
    </row>
    <row r="1308" spans="21:22" x14ac:dyDescent="0.3">
      <c r="U1308" s="1" t="s">
        <v>1623</v>
      </c>
      <c r="V1308" s="1"/>
    </row>
    <row r="1309" spans="21:22" x14ac:dyDescent="0.3">
      <c r="U1309" s="1" t="s">
        <v>1624</v>
      </c>
      <c r="V1309" s="1"/>
    </row>
    <row r="1310" spans="21:22" x14ac:dyDescent="0.3">
      <c r="U1310" s="1" t="s">
        <v>1625</v>
      </c>
      <c r="V1310" s="1"/>
    </row>
    <row r="1311" spans="21:22" x14ac:dyDescent="0.3">
      <c r="U1311" s="1" t="s">
        <v>1626</v>
      </c>
      <c r="V1311" s="1"/>
    </row>
    <row r="1312" spans="21:22" x14ac:dyDescent="0.3">
      <c r="U1312" s="1" t="s">
        <v>1627</v>
      </c>
      <c r="V1312" s="1"/>
    </row>
    <row r="1313" spans="21:22" x14ac:dyDescent="0.3">
      <c r="U1313" s="1" t="s">
        <v>1628</v>
      </c>
      <c r="V1313" s="1"/>
    </row>
    <row r="1314" spans="21:22" x14ac:dyDescent="0.3">
      <c r="U1314" t="s">
        <v>1629</v>
      </c>
    </row>
    <row r="1315" spans="21:22" x14ac:dyDescent="0.3">
      <c r="U1315" t="s">
        <v>1630</v>
      </c>
    </row>
    <row r="1316" spans="21:22" x14ac:dyDescent="0.3">
      <c r="U1316" t="s">
        <v>1631</v>
      </c>
    </row>
    <row r="1317" spans="21:22" x14ac:dyDescent="0.3">
      <c r="U1317" t="s">
        <v>1632</v>
      </c>
    </row>
    <row r="1318" spans="21:22" x14ac:dyDescent="0.3">
      <c r="U1318" t="s">
        <v>1633</v>
      </c>
    </row>
    <row r="1319" spans="21:22" x14ac:dyDescent="0.3">
      <c r="U1319" t="s">
        <v>1634</v>
      </c>
    </row>
    <row r="1320" spans="21:22" x14ac:dyDescent="0.3">
      <c r="U1320" t="s">
        <v>1635</v>
      </c>
    </row>
    <row r="1321" spans="21:22" x14ac:dyDescent="0.3">
      <c r="U1321" t="s">
        <v>1636</v>
      </c>
    </row>
    <row r="1322" spans="21:22" x14ac:dyDescent="0.3">
      <c r="U1322" t="s">
        <v>1637</v>
      </c>
    </row>
    <row r="1323" spans="21:22" x14ac:dyDescent="0.3">
      <c r="U1323" t="s">
        <v>1638</v>
      </c>
    </row>
    <row r="1324" spans="21:22" x14ac:dyDescent="0.3">
      <c r="U1324" t="s">
        <v>1639</v>
      </c>
    </row>
    <row r="1325" spans="21:22" x14ac:dyDescent="0.3">
      <c r="U1325" t="s">
        <v>1640</v>
      </c>
    </row>
    <row r="1326" spans="21:22" x14ac:dyDescent="0.3">
      <c r="U1326" t="s">
        <v>1641</v>
      </c>
    </row>
    <row r="1327" spans="21:22" x14ac:dyDescent="0.3">
      <c r="U1327" t="s">
        <v>1642</v>
      </c>
    </row>
    <row r="1328" spans="21:22" x14ac:dyDescent="0.3">
      <c r="U1328" t="s">
        <v>1643</v>
      </c>
    </row>
    <row r="1329" spans="21:21" x14ac:dyDescent="0.3">
      <c r="U1329" t="s">
        <v>1644</v>
      </c>
    </row>
    <row r="1330" spans="21:21" x14ac:dyDescent="0.3">
      <c r="U1330" t="s">
        <v>1645</v>
      </c>
    </row>
    <row r="1331" spans="21:21" x14ac:dyDescent="0.3">
      <c r="U1331" t="s">
        <v>1646</v>
      </c>
    </row>
    <row r="1332" spans="21:21" x14ac:dyDescent="0.3">
      <c r="U1332" t="s">
        <v>1647</v>
      </c>
    </row>
    <row r="1333" spans="21:21" x14ac:dyDescent="0.3">
      <c r="U1333" t="s">
        <v>1648</v>
      </c>
    </row>
    <row r="1334" spans="21:21" x14ac:dyDescent="0.3">
      <c r="U1334" t="s">
        <v>1649</v>
      </c>
    </row>
    <row r="1335" spans="21:21" x14ac:dyDescent="0.3">
      <c r="U1335" t="s">
        <v>1650</v>
      </c>
    </row>
    <row r="1336" spans="21:21" x14ac:dyDescent="0.3">
      <c r="U1336" t="s">
        <v>1651</v>
      </c>
    </row>
    <row r="1337" spans="21:21" x14ac:dyDescent="0.3">
      <c r="U1337" t="s">
        <v>1652</v>
      </c>
    </row>
    <row r="1338" spans="21:21" x14ac:dyDescent="0.3">
      <c r="U1338" t="s">
        <v>1653</v>
      </c>
    </row>
    <row r="1339" spans="21:21" x14ac:dyDescent="0.3">
      <c r="U1339" t="s">
        <v>1654</v>
      </c>
    </row>
    <row r="1340" spans="21:21" x14ac:dyDescent="0.3">
      <c r="U1340" t="s">
        <v>1655</v>
      </c>
    </row>
    <row r="1341" spans="21:21" x14ac:dyDescent="0.3">
      <c r="U1341" t="s">
        <v>1656</v>
      </c>
    </row>
    <row r="1342" spans="21:21" x14ac:dyDescent="0.3">
      <c r="U1342" t="s">
        <v>1657</v>
      </c>
    </row>
    <row r="1343" spans="21:21" x14ac:dyDescent="0.3">
      <c r="U1343" t="s">
        <v>1658</v>
      </c>
    </row>
    <row r="1344" spans="21:21" x14ac:dyDescent="0.3">
      <c r="U1344" t="s">
        <v>1659</v>
      </c>
    </row>
    <row r="1345" spans="21:21" x14ac:dyDescent="0.3">
      <c r="U1345" t="s">
        <v>1660</v>
      </c>
    </row>
    <row r="1346" spans="21:21" x14ac:dyDescent="0.3">
      <c r="U1346" t="s">
        <v>1661</v>
      </c>
    </row>
    <row r="1347" spans="21:21" x14ac:dyDescent="0.3">
      <c r="U1347" t="s">
        <v>1662</v>
      </c>
    </row>
    <row r="1348" spans="21:21" x14ac:dyDescent="0.3">
      <c r="U1348" t="s">
        <v>1663</v>
      </c>
    </row>
    <row r="1349" spans="21:21" x14ac:dyDescent="0.3">
      <c r="U1349" t="s">
        <v>1664</v>
      </c>
    </row>
    <row r="1350" spans="21:21" x14ac:dyDescent="0.3">
      <c r="U1350" t="s">
        <v>1665</v>
      </c>
    </row>
    <row r="1351" spans="21:21" x14ac:dyDescent="0.3">
      <c r="U1351" t="s">
        <v>1666</v>
      </c>
    </row>
    <row r="1352" spans="21:21" x14ac:dyDescent="0.3">
      <c r="U1352" t="s">
        <v>1667</v>
      </c>
    </row>
    <row r="1353" spans="21:21" x14ac:dyDescent="0.3">
      <c r="U1353" t="s">
        <v>1668</v>
      </c>
    </row>
    <row r="1354" spans="21:21" x14ac:dyDescent="0.3">
      <c r="U1354" t="s">
        <v>1669</v>
      </c>
    </row>
    <row r="1355" spans="21:21" x14ac:dyDescent="0.3">
      <c r="U1355" t="s">
        <v>1670</v>
      </c>
    </row>
    <row r="1356" spans="21:21" x14ac:dyDescent="0.3">
      <c r="U1356" t="s">
        <v>1671</v>
      </c>
    </row>
    <row r="1357" spans="21:21" x14ac:dyDescent="0.3">
      <c r="U1357" t="s">
        <v>1672</v>
      </c>
    </row>
    <row r="1358" spans="21:21" x14ac:dyDescent="0.3">
      <c r="U1358" t="s">
        <v>1673</v>
      </c>
    </row>
    <row r="1359" spans="21:21" x14ac:dyDescent="0.3">
      <c r="U1359" t="s">
        <v>1674</v>
      </c>
    </row>
    <row r="1360" spans="21:21" x14ac:dyDescent="0.3">
      <c r="U1360" t="s">
        <v>1675</v>
      </c>
    </row>
    <row r="1361" spans="21:21" x14ac:dyDescent="0.3">
      <c r="U1361" t="s">
        <v>1676</v>
      </c>
    </row>
    <row r="1362" spans="21:21" x14ac:dyDescent="0.3">
      <c r="U1362" t="s">
        <v>1677</v>
      </c>
    </row>
    <row r="1363" spans="21:21" x14ac:dyDescent="0.3">
      <c r="U1363" t="s">
        <v>1678</v>
      </c>
    </row>
    <row r="1364" spans="21:21" x14ac:dyDescent="0.3">
      <c r="U1364" t="s">
        <v>1679</v>
      </c>
    </row>
    <row r="1365" spans="21:21" x14ac:dyDescent="0.3">
      <c r="U1365" t="s">
        <v>1680</v>
      </c>
    </row>
    <row r="1366" spans="21:21" x14ac:dyDescent="0.3">
      <c r="U1366" t="s">
        <v>1681</v>
      </c>
    </row>
    <row r="1367" spans="21:21" x14ac:dyDescent="0.3">
      <c r="U1367" t="s">
        <v>1682</v>
      </c>
    </row>
    <row r="1368" spans="21:21" x14ac:dyDescent="0.3">
      <c r="U1368" t="s">
        <v>1683</v>
      </c>
    </row>
    <row r="1369" spans="21:21" x14ac:dyDescent="0.3">
      <c r="U1369" t="s">
        <v>1684</v>
      </c>
    </row>
    <row r="1370" spans="21:21" x14ac:dyDescent="0.3">
      <c r="U1370" t="s">
        <v>1685</v>
      </c>
    </row>
    <row r="1371" spans="21:21" x14ac:dyDescent="0.3">
      <c r="U1371" t="s">
        <v>1686</v>
      </c>
    </row>
    <row r="1372" spans="21:21" x14ac:dyDescent="0.3">
      <c r="U1372" t="s">
        <v>1687</v>
      </c>
    </row>
    <row r="1373" spans="21:21" x14ac:dyDescent="0.3">
      <c r="U1373" t="s">
        <v>1688</v>
      </c>
    </row>
    <row r="1374" spans="21:21" x14ac:dyDescent="0.3">
      <c r="U1374" t="s">
        <v>1689</v>
      </c>
    </row>
    <row r="1375" spans="21:21" x14ac:dyDescent="0.3">
      <c r="U1375" t="s">
        <v>1690</v>
      </c>
    </row>
    <row r="1376" spans="21:21" x14ac:dyDescent="0.3">
      <c r="U1376" t="s">
        <v>1691</v>
      </c>
    </row>
    <row r="1377" spans="21:21" x14ac:dyDescent="0.3">
      <c r="U1377" t="s">
        <v>1692</v>
      </c>
    </row>
    <row r="1378" spans="21:21" x14ac:dyDescent="0.3">
      <c r="U1378" t="s">
        <v>1693</v>
      </c>
    </row>
    <row r="1379" spans="21:21" x14ac:dyDescent="0.3">
      <c r="U1379" t="s">
        <v>1694</v>
      </c>
    </row>
    <row r="1380" spans="21:21" x14ac:dyDescent="0.3">
      <c r="U1380" t="s">
        <v>1695</v>
      </c>
    </row>
    <row r="1381" spans="21:21" x14ac:dyDescent="0.3">
      <c r="U1381" t="s">
        <v>1696</v>
      </c>
    </row>
    <row r="1382" spans="21:21" x14ac:dyDescent="0.3">
      <c r="U1382" t="s">
        <v>1697</v>
      </c>
    </row>
    <row r="1383" spans="21:21" x14ac:dyDescent="0.3">
      <c r="U1383" t="s">
        <v>1698</v>
      </c>
    </row>
    <row r="1384" spans="21:21" x14ac:dyDescent="0.3">
      <c r="U1384" t="s">
        <v>1699</v>
      </c>
    </row>
    <row r="1385" spans="21:21" x14ac:dyDescent="0.3">
      <c r="U1385" t="s">
        <v>1700</v>
      </c>
    </row>
    <row r="1386" spans="21:21" x14ac:dyDescent="0.3">
      <c r="U1386" t="s">
        <v>1701</v>
      </c>
    </row>
    <row r="1387" spans="21:21" x14ac:dyDescent="0.3">
      <c r="U1387" t="s">
        <v>1702</v>
      </c>
    </row>
    <row r="1388" spans="21:21" x14ac:dyDescent="0.3">
      <c r="U1388" t="s">
        <v>1703</v>
      </c>
    </row>
    <row r="1389" spans="21:21" x14ac:dyDescent="0.3">
      <c r="U1389" t="s">
        <v>1704</v>
      </c>
    </row>
    <row r="1390" spans="21:21" x14ac:dyDescent="0.3">
      <c r="U1390" t="s">
        <v>1705</v>
      </c>
    </row>
    <row r="1391" spans="21:21" x14ac:dyDescent="0.3">
      <c r="U1391" t="s">
        <v>1706</v>
      </c>
    </row>
    <row r="1392" spans="21:21" x14ac:dyDescent="0.3">
      <c r="U1392" t="s">
        <v>1707</v>
      </c>
    </row>
    <row r="1393" spans="21:21" x14ac:dyDescent="0.3">
      <c r="U1393" t="s">
        <v>1708</v>
      </c>
    </row>
    <row r="1394" spans="21:21" x14ac:dyDescent="0.3">
      <c r="U1394" t="s">
        <v>1709</v>
      </c>
    </row>
    <row r="1395" spans="21:21" x14ac:dyDescent="0.3">
      <c r="U1395" t="s">
        <v>1710</v>
      </c>
    </row>
    <row r="1396" spans="21:21" x14ac:dyDescent="0.3">
      <c r="U1396" t="s">
        <v>1711</v>
      </c>
    </row>
    <row r="1397" spans="21:21" x14ac:dyDescent="0.3">
      <c r="U1397" t="s">
        <v>1712</v>
      </c>
    </row>
    <row r="1398" spans="21:21" x14ac:dyDescent="0.3">
      <c r="U1398" t="s">
        <v>1713</v>
      </c>
    </row>
    <row r="1399" spans="21:21" x14ac:dyDescent="0.3">
      <c r="U1399" t="s">
        <v>1714</v>
      </c>
    </row>
    <row r="1400" spans="21:21" x14ac:dyDescent="0.3">
      <c r="U1400" t="s">
        <v>1715</v>
      </c>
    </row>
    <row r="1401" spans="21:21" x14ac:dyDescent="0.3">
      <c r="U1401" t="s">
        <v>1716</v>
      </c>
    </row>
    <row r="1402" spans="21:21" x14ac:dyDescent="0.3">
      <c r="U1402" t="s">
        <v>1717</v>
      </c>
    </row>
    <row r="1403" spans="21:21" x14ac:dyDescent="0.3">
      <c r="U1403" t="s">
        <v>1718</v>
      </c>
    </row>
    <row r="1404" spans="21:21" x14ac:dyDescent="0.3">
      <c r="U1404" t="s">
        <v>1719</v>
      </c>
    </row>
    <row r="1405" spans="21:21" x14ac:dyDescent="0.3">
      <c r="U1405" t="s">
        <v>1720</v>
      </c>
    </row>
    <row r="1406" spans="21:21" x14ac:dyDescent="0.3">
      <c r="U1406" t="s">
        <v>1721</v>
      </c>
    </row>
    <row r="1407" spans="21:21" x14ac:dyDescent="0.3">
      <c r="U1407" t="s">
        <v>1722</v>
      </c>
    </row>
    <row r="1408" spans="21:21" x14ac:dyDescent="0.3">
      <c r="U1408" t="s">
        <v>1723</v>
      </c>
    </row>
    <row r="1409" spans="21:21" x14ac:dyDescent="0.3">
      <c r="U1409" t="s">
        <v>1724</v>
      </c>
    </row>
    <row r="1410" spans="21:21" x14ac:dyDescent="0.3">
      <c r="U1410" t="s">
        <v>1725</v>
      </c>
    </row>
    <row r="1411" spans="21:21" x14ac:dyDescent="0.3">
      <c r="U1411" t="s">
        <v>1726</v>
      </c>
    </row>
    <row r="1412" spans="21:21" x14ac:dyDescent="0.3">
      <c r="U1412" t="s">
        <v>1727</v>
      </c>
    </row>
    <row r="1413" spans="21:21" x14ac:dyDescent="0.3">
      <c r="U1413" t="s">
        <v>1728</v>
      </c>
    </row>
    <row r="1414" spans="21:21" x14ac:dyDescent="0.3">
      <c r="U1414" t="s">
        <v>1729</v>
      </c>
    </row>
    <row r="1415" spans="21:21" x14ac:dyDescent="0.3">
      <c r="U1415" t="s">
        <v>1730</v>
      </c>
    </row>
    <row r="1416" spans="21:21" x14ac:dyDescent="0.3">
      <c r="U1416" t="s">
        <v>1731</v>
      </c>
    </row>
    <row r="1417" spans="21:21" x14ac:dyDescent="0.3">
      <c r="U1417" t="s">
        <v>1732</v>
      </c>
    </row>
    <row r="1418" spans="21:21" x14ac:dyDescent="0.3">
      <c r="U1418" t="s">
        <v>1733</v>
      </c>
    </row>
    <row r="1419" spans="21:21" x14ac:dyDescent="0.3">
      <c r="U1419" t="s">
        <v>1734</v>
      </c>
    </row>
    <row r="1420" spans="21:21" x14ac:dyDescent="0.3">
      <c r="U1420" t="s">
        <v>1735</v>
      </c>
    </row>
    <row r="1421" spans="21:21" x14ac:dyDescent="0.3">
      <c r="U1421" t="s">
        <v>1736</v>
      </c>
    </row>
    <row r="1422" spans="21:21" x14ac:dyDescent="0.3">
      <c r="U1422" t="s">
        <v>1737</v>
      </c>
    </row>
    <row r="1423" spans="21:21" x14ac:dyDescent="0.3">
      <c r="U1423" t="s">
        <v>1738</v>
      </c>
    </row>
    <row r="1424" spans="21:21" x14ac:dyDescent="0.3">
      <c r="U1424" t="s">
        <v>1739</v>
      </c>
    </row>
    <row r="1425" spans="21:21" x14ac:dyDescent="0.3">
      <c r="U1425" t="s">
        <v>1740</v>
      </c>
    </row>
    <row r="1426" spans="21:21" x14ac:dyDescent="0.3">
      <c r="U1426" t="s">
        <v>1741</v>
      </c>
    </row>
    <row r="1427" spans="21:21" x14ac:dyDescent="0.3">
      <c r="U1427" t="s">
        <v>1742</v>
      </c>
    </row>
    <row r="1428" spans="21:21" x14ac:dyDescent="0.3">
      <c r="U1428" t="s">
        <v>1743</v>
      </c>
    </row>
    <row r="1429" spans="21:21" x14ac:dyDescent="0.3">
      <c r="U1429" t="s">
        <v>1744</v>
      </c>
    </row>
    <row r="1430" spans="21:21" x14ac:dyDescent="0.3">
      <c r="U1430" t="s">
        <v>1745</v>
      </c>
    </row>
    <row r="1431" spans="21:21" x14ac:dyDescent="0.3">
      <c r="U1431" t="s">
        <v>1746</v>
      </c>
    </row>
    <row r="1432" spans="21:21" x14ac:dyDescent="0.3">
      <c r="U1432" t="s">
        <v>1747</v>
      </c>
    </row>
    <row r="1433" spans="21:21" x14ac:dyDescent="0.3">
      <c r="U1433" t="s">
        <v>1748</v>
      </c>
    </row>
    <row r="1434" spans="21:21" x14ac:dyDescent="0.3">
      <c r="U1434" t="s">
        <v>1749</v>
      </c>
    </row>
    <row r="1435" spans="21:21" x14ac:dyDescent="0.3">
      <c r="U1435" t="s">
        <v>1750</v>
      </c>
    </row>
    <row r="1436" spans="21:21" x14ac:dyDescent="0.3">
      <c r="U1436" t="s">
        <v>1751</v>
      </c>
    </row>
    <row r="1437" spans="21:21" x14ac:dyDescent="0.3">
      <c r="U1437" t="s">
        <v>1752</v>
      </c>
    </row>
    <row r="1438" spans="21:21" x14ac:dyDescent="0.3">
      <c r="U1438" t="s">
        <v>1753</v>
      </c>
    </row>
    <row r="1439" spans="21:21" x14ac:dyDescent="0.3">
      <c r="U1439" t="s">
        <v>1754</v>
      </c>
    </row>
    <row r="1440" spans="21:21" x14ac:dyDescent="0.3">
      <c r="U1440" t="s">
        <v>1755</v>
      </c>
    </row>
    <row r="1441" spans="21:21" x14ac:dyDescent="0.3">
      <c r="U1441" t="s">
        <v>1756</v>
      </c>
    </row>
    <row r="1442" spans="21:21" x14ac:dyDescent="0.3">
      <c r="U1442" t="s">
        <v>1757</v>
      </c>
    </row>
    <row r="1443" spans="21:21" x14ac:dyDescent="0.3">
      <c r="U1443" t="s">
        <v>1758</v>
      </c>
    </row>
    <row r="1444" spans="21:21" x14ac:dyDescent="0.3">
      <c r="U1444" t="s">
        <v>1759</v>
      </c>
    </row>
    <row r="1445" spans="21:21" x14ac:dyDescent="0.3">
      <c r="U1445" t="s">
        <v>1760</v>
      </c>
    </row>
    <row r="1446" spans="21:21" x14ac:dyDescent="0.3">
      <c r="U1446" t="s">
        <v>1761</v>
      </c>
    </row>
    <row r="1447" spans="21:21" x14ac:dyDescent="0.3">
      <c r="U1447" t="s">
        <v>1762</v>
      </c>
    </row>
    <row r="1448" spans="21:21" x14ac:dyDescent="0.3">
      <c r="U1448" t="s">
        <v>1763</v>
      </c>
    </row>
    <row r="1449" spans="21:21" x14ac:dyDescent="0.3">
      <c r="U1449" t="s">
        <v>1764</v>
      </c>
    </row>
    <row r="1450" spans="21:21" x14ac:dyDescent="0.3">
      <c r="U1450" t="s">
        <v>1765</v>
      </c>
    </row>
    <row r="1451" spans="21:21" x14ac:dyDescent="0.3">
      <c r="U1451" t="s">
        <v>1766</v>
      </c>
    </row>
    <row r="1452" spans="21:21" x14ac:dyDescent="0.3">
      <c r="U1452" t="s">
        <v>1767</v>
      </c>
    </row>
    <row r="1453" spans="21:21" x14ac:dyDescent="0.3">
      <c r="U1453" t="s">
        <v>1768</v>
      </c>
    </row>
    <row r="1454" spans="21:21" x14ac:dyDescent="0.3">
      <c r="U1454" t="s">
        <v>1769</v>
      </c>
    </row>
    <row r="1455" spans="21:21" x14ac:dyDescent="0.3">
      <c r="U1455" t="s">
        <v>1770</v>
      </c>
    </row>
    <row r="1456" spans="21:21" x14ac:dyDescent="0.3">
      <c r="U1456" t="s">
        <v>1771</v>
      </c>
    </row>
    <row r="1457" spans="21:21" x14ac:dyDescent="0.3">
      <c r="U1457" t="s">
        <v>1772</v>
      </c>
    </row>
    <row r="1458" spans="21:21" x14ac:dyDescent="0.3">
      <c r="U1458" t="s">
        <v>1773</v>
      </c>
    </row>
    <row r="1459" spans="21:21" x14ac:dyDescent="0.3">
      <c r="U1459" t="s">
        <v>1774</v>
      </c>
    </row>
    <row r="1460" spans="21:21" x14ac:dyDescent="0.3">
      <c r="U1460" t="s">
        <v>1775</v>
      </c>
    </row>
    <row r="1461" spans="21:21" x14ac:dyDescent="0.3">
      <c r="U1461" t="s">
        <v>1776</v>
      </c>
    </row>
    <row r="1462" spans="21:21" x14ac:dyDescent="0.3">
      <c r="U1462" t="s">
        <v>1777</v>
      </c>
    </row>
    <row r="1463" spans="21:21" x14ac:dyDescent="0.3">
      <c r="U1463" t="s">
        <v>1778</v>
      </c>
    </row>
    <row r="1464" spans="21:21" x14ac:dyDescent="0.3">
      <c r="U1464" t="s">
        <v>1779</v>
      </c>
    </row>
    <row r="1465" spans="21:21" x14ac:dyDescent="0.3">
      <c r="U1465" t="s">
        <v>1780</v>
      </c>
    </row>
    <row r="1466" spans="21:21" x14ac:dyDescent="0.3">
      <c r="U1466" t="s">
        <v>1781</v>
      </c>
    </row>
    <row r="1467" spans="21:21" x14ac:dyDescent="0.3">
      <c r="U1467" t="s">
        <v>1782</v>
      </c>
    </row>
    <row r="1468" spans="21:21" x14ac:dyDescent="0.3">
      <c r="U1468" t="s">
        <v>1783</v>
      </c>
    </row>
    <row r="1469" spans="21:21" x14ac:dyDescent="0.3">
      <c r="U1469" t="s">
        <v>1784</v>
      </c>
    </row>
    <row r="1470" spans="21:21" x14ac:dyDescent="0.3">
      <c r="U1470" t="s">
        <v>1785</v>
      </c>
    </row>
    <row r="1471" spans="21:21" x14ac:dyDescent="0.3">
      <c r="U1471" t="s">
        <v>1786</v>
      </c>
    </row>
    <row r="1472" spans="21:21" x14ac:dyDescent="0.3">
      <c r="U1472" t="s">
        <v>1787</v>
      </c>
    </row>
    <row r="1473" spans="21:21" x14ac:dyDescent="0.3">
      <c r="U1473" t="s">
        <v>1788</v>
      </c>
    </row>
    <row r="1474" spans="21:21" x14ac:dyDescent="0.3">
      <c r="U1474" t="s">
        <v>1789</v>
      </c>
    </row>
    <row r="1475" spans="21:21" x14ac:dyDescent="0.3">
      <c r="U1475" t="s">
        <v>1790</v>
      </c>
    </row>
    <row r="1476" spans="21:21" x14ac:dyDescent="0.3">
      <c r="U1476" t="s">
        <v>1791</v>
      </c>
    </row>
    <row r="1477" spans="21:21" x14ac:dyDescent="0.3">
      <c r="U1477" t="s">
        <v>1792</v>
      </c>
    </row>
    <row r="1478" spans="21:21" x14ac:dyDescent="0.3">
      <c r="U1478" t="s">
        <v>1793</v>
      </c>
    </row>
    <row r="1479" spans="21:21" x14ac:dyDescent="0.3">
      <c r="U1479" t="s">
        <v>1794</v>
      </c>
    </row>
    <row r="1480" spans="21:21" x14ac:dyDescent="0.3">
      <c r="U1480" t="s">
        <v>1795</v>
      </c>
    </row>
    <row r="1481" spans="21:21" x14ac:dyDescent="0.3">
      <c r="U1481" t="s">
        <v>1796</v>
      </c>
    </row>
    <row r="1482" spans="21:21" x14ac:dyDescent="0.3">
      <c r="U1482" t="s">
        <v>1797</v>
      </c>
    </row>
    <row r="1483" spans="21:21" x14ac:dyDescent="0.3">
      <c r="U1483" t="s">
        <v>1798</v>
      </c>
    </row>
    <row r="1484" spans="21:21" x14ac:dyDescent="0.3">
      <c r="U1484" t="s">
        <v>1799</v>
      </c>
    </row>
    <row r="1485" spans="21:21" x14ac:dyDescent="0.3">
      <c r="U1485" t="s">
        <v>1800</v>
      </c>
    </row>
    <row r="1486" spans="21:21" x14ac:dyDescent="0.3">
      <c r="U1486" t="s">
        <v>1801</v>
      </c>
    </row>
    <row r="1487" spans="21:21" x14ac:dyDescent="0.3">
      <c r="U1487" t="s">
        <v>1802</v>
      </c>
    </row>
    <row r="1488" spans="21:21" x14ac:dyDescent="0.3">
      <c r="U1488" t="s">
        <v>1803</v>
      </c>
    </row>
    <row r="1489" spans="21:21" x14ac:dyDescent="0.3">
      <c r="U1489" t="s">
        <v>1804</v>
      </c>
    </row>
    <row r="1490" spans="21:21" x14ac:dyDescent="0.3">
      <c r="U1490" t="s">
        <v>1805</v>
      </c>
    </row>
    <row r="1491" spans="21:21" x14ac:dyDescent="0.3">
      <c r="U1491" t="s">
        <v>1806</v>
      </c>
    </row>
    <row r="1492" spans="21:21" x14ac:dyDescent="0.3">
      <c r="U1492" t="s">
        <v>1807</v>
      </c>
    </row>
    <row r="1493" spans="21:21" x14ac:dyDescent="0.3">
      <c r="U1493" t="s">
        <v>1808</v>
      </c>
    </row>
    <row r="1494" spans="21:21" x14ac:dyDescent="0.3">
      <c r="U1494" t="s">
        <v>1809</v>
      </c>
    </row>
    <row r="1495" spans="21:21" x14ac:dyDescent="0.3">
      <c r="U1495" t="s">
        <v>1810</v>
      </c>
    </row>
    <row r="1496" spans="21:21" x14ac:dyDescent="0.3">
      <c r="U1496" t="s">
        <v>1811</v>
      </c>
    </row>
    <row r="1497" spans="21:21" x14ac:dyDescent="0.3">
      <c r="U1497" t="s">
        <v>1812</v>
      </c>
    </row>
    <row r="1498" spans="21:21" x14ac:dyDescent="0.3">
      <c r="U1498" t="s">
        <v>1813</v>
      </c>
    </row>
    <row r="1499" spans="21:21" x14ac:dyDescent="0.3">
      <c r="U1499" t="s">
        <v>1814</v>
      </c>
    </row>
    <row r="1500" spans="21:21" x14ac:dyDescent="0.3">
      <c r="U1500" t="s">
        <v>1815</v>
      </c>
    </row>
    <row r="1501" spans="21:21" x14ac:dyDescent="0.3">
      <c r="U1501" t="s">
        <v>1816</v>
      </c>
    </row>
    <row r="1502" spans="21:21" x14ac:dyDescent="0.3">
      <c r="U1502" t="s">
        <v>1817</v>
      </c>
    </row>
    <row r="1503" spans="21:21" x14ac:dyDescent="0.3">
      <c r="U1503" t="s">
        <v>1818</v>
      </c>
    </row>
    <row r="1504" spans="21:21" x14ac:dyDescent="0.3">
      <c r="U1504" t="s">
        <v>1819</v>
      </c>
    </row>
    <row r="1505" spans="21:21" x14ac:dyDescent="0.3">
      <c r="U1505" t="s">
        <v>1820</v>
      </c>
    </row>
    <row r="1506" spans="21:21" x14ac:dyDescent="0.3">
      <c r="U1506" t="s">
        <v>1821</v>
      </c>
    </row>
    <row r="1507" spans="21:21" x14ac:dyDescent="0.3">
      <c r="U1507" t="s">
        <v>1822</v>
      </c>
    </row>
    <row r="1508" spans="21:21" x14ac:dyDescent="0.3">
      <c r="U1508" t="s">
        <v>1823</v>
      </c>
    </row>
    <row r="1509" spans="21:21" x14ac:dyDescent="0.3">
      <c r="U1509" t="s">
        <v>1824</v>
      </c>
    </row>
    <row r="1510" spans="21:21" x14ac:dyDescent="0.3">
      <c r="U1510" t="s">
        <v>1825</v>
      </c>
    </row>
    <row r="1511" spans="21:21" x14ac:dyDescent="0.3">
      <c r="U1511" t="s">
        <v>1826</v>
      </c>
    </row>
    <row r="1512" spans="21:21" x14ac:dyDescent="0.3">
      <c r="U1512" t="s">
        <v>1827</v>
      </c>
    </row>
    <row r="1513" spans="21:21" x14ac:dyDescent="0.3">
      <c r="U1513" t="s">
        <v>1828</v>
      </c>
    </row>
    <row r="1514" spans="21:21" x14ac:dyDescent="0.3">
      <c r="U1514" t="s">
        <v>1829</v>
      </c>
    </row>
    <row r="1515" spans="21:21" x14ac:dyDescent="0.3">
      <c r="U1515" t="s">
        <v>1830</v>
      </c>
    </row>
    <row r="1516" spans="21:21" x14ac:dyDescent="0.3">
      <c r="U1516" t="s">
        <v>1831</v>
      </c>
    </row>
    <row r="1517" spans="21:21" x14ac:dyDescent="0.3">
      <c r="U1517" t="s">
        <v>1832</v>
      </c>
    </row>
    <row r="1518" spans="21:21" x14ac:dyDescent="0.3">
      <c r="U1518" t="s">
        <v>1833</v>
      </c>
    </row>
    <row r="1519" spans="21:21" x14ac:dyDescent="0.3">
      <c r="U1519" t="s">
        <v>1834</v>
      </c>
    </row>
    <row r="1520" spans="21:21" x14ac:dyDescent="0.3">
      <c r="U1520" t="s">
        <v>1835</v>
      </c>
    </row>
    <row r="1521" spans="21:21" x14ac:dyDescent="0.3">
      <c r="U1521" t="s">
        <v>1836</v>
      </c>
    </row>
    <row r="1522" spans="21:21" x14ac:dyDescent="0.3">
      <c r="U1522" t="s">
        <v>1837</v>
      </c>
    </row>
    <row r="1523" spans="21:21" x14ac:dyDescent="0.3">
      <c r="U1523" t="s">
        <v>1838</v>
      </c>
    </row>
    <row r="1524" spans="21:21" x14ac:dyDescent="0.3">
      <c r="U1524" t="s">
        <v>1839</v>
      </c>
    </row>
    <row r="1525" spans="21:21" x14ac:dyDescent="0.3">
      <c r="U1525" t="s">
        <v>1840</v>
      </c>
    </row>
    <row r="1526" spans="21:21" x14ac:dyDescent="0.3">
      <c r="U1526" t="s">
        <v>1841</v>
      </c>
    </row>
    <row r="1527" spans="21:21" x14ac:dyDescent="0.3">
      <c r="U1527" t="s">
        <v>1842</v>
      </c>
    </row>
    <row r="1528" spans="21:21" x14ac:dyDescent="0.3">
      <c r="U1528" t="s">
        <v>1843</v>
      </c>
    </row>
    <row r="1529" spans="21:21" x14ac:dyDescent="0.3">
      <c r="U1529" t="s">
        <v>1844</v>
      </c>
    </row>
    <row r="1530" spans="21:21" x14ac:dyDescent="0.3">
      <c r="U1530" t="s">
        <v>1845</v>
      </c>
    </row>
    <row r="1531" spans="21:21" x14ac:dyDescent="0.3">
      <c r="U1531" t="s">
        <v>1846</v>
      </c>
    </row>
    <row r="1532" spans="21:21" x14ac:dyDescent="0.3">
      <c r="U1532" t="s">
        <v>1847</v>
      </c>
    </row>
    <row r="1533" spans="21:21" x14ac:dyDescent="0.3">
      <c r="U1533" t="s">
        <v>1848</v>
      </c>
    </row>
    <row r="1534" spans="21:21" x14ac:dyDescent="0.3">
      <c r="U1534" t="s">
        <v>1849</v>
      </c>
    </row>
    <row r="1535" spans="21:21" x14ac:dyDescent="0.3">
      <c r="U1535" t="s">
        <v>1850</v>
      </c>
    </row>
    <row r="1536" spans="21:21" x14ac:dyDescent="0.3">
      <c r="U1536" t="s">
        <v>1851</v>
      </c>
    </row>
    <row r="1537" spans="21:21" x14ac:dyDescent="0.3">
      <c r="U1537" t="s">
        <v>1852</v>
      </c>
    </row>
    <row r="1538" spans="21:21" x14ac:dyDescent="0.3">
      <c r="U1538" t="s">
        <v>1853</v>
      </c>
    </row>
    <row r="1539" spans="21:21" x14ac:dyDescent="0.3">
      <c r="U1539" t="s">
        <v>1854</v>
      </c>
    </row>
    <row r="1540" spans="21:21" x14ac:dyDescent="0.3">
      <c r="U1540" t="s">
        <v>1855</v>
      </c>
    </row>
    <row r="1541" spans="21:21" x14ac:dyDescent="0.3">
      <c r="U1541" t="s">
        <v>1856</v>
      </c>
    </row>
    <row r="1542" spans="21:21" x14ac:dyDescent="0.3">
      <c r="U1542" t="s">
        <v>1857</v>
      </c>
    </row>
    <row r="1543" spans="21:21" x14ac:dyDescent="0.3">
      <c r="U1543" t="s">
        <v>1858</v>
      </c>
    </row>
    <row r="1544" spans="21:21" x14ac:dyDescent="0.3">
      <c r="U1544" t="s">
        <v>1859</v>
      </c>
    </row>
    <row r="1545" spans="21:21" x14ac:dyDescent="0.3">
      <c r="U1545" t="s">
        <v>1860</v>
      </c>
    </row>
    <row r="1546" spans="21:21" x14ac:dyDescent="0.3">
      <c r="U1546" t="s">
        <v>1861</v>
      </c>
    </row>
    <row r="1547" spans="21:21" x14ac:dyDescent="0.3">
      <c r="U1547" t="s">
        <v>1862</v>
      </c>
    </row>
    <row r="1548" spans="21:21" x14ac:dyDescent="0.3">
      <c r="U1548" t="s">
        <v>1863</v>
      </c>
    </row>
    <row r="1549" spans="21:21" x14ac:dyDescent="0.3">
      <c r="U1549" t="s">
        <v>1864</v>
      </c>
    </row>
    <row r="1550" spans="21:21" x14ac:dyDescent="0.3">
      <c r="U1550" t="s">
        <v>1865</v>
      </c>
    </row>
    <row r="1551" spans="21:21" x14ac:dyDescent="0.3">
      <c r="U1551" t="s">
        <v>1866</v>
      </c>
    </row>
    <row r="1552" spans="21:21" x14ac:dyDescent="0.3">
      <c r="U1552" t="s">
        <v>1867</v>
      </c>
    </row>
    <row r="1553" spans="21:21" x14ac:dyDescent="0.3">
      <c r="U1553" t="s">
        <v>1868</v>
      </c>
    </row>
    <row r="1554" spans="21:21" x14ac:dyDescent="0.3">
      <c r="U1554" t="s">
        <v>1869</v>
      </c>
    </row>
    <row r="1555" spans="21:21" x14ac:dyDescent="0.3">
      <c r="U1555" t="s">
        <v>1870</v>
      </c>
    </row>
    <row r="1556" spans="21:21" x14ac:dyDescent="0.3">
      <c r="U1556" t="s">
        <v>1871</v>
      </c>
    </row>
    <row r="1557" spans="21:21" x14ac:dyDescent="0.3">
      <c r="U1557" t="s">
        <v>1872</v>
      </c>
    </row>
    <row r="1558" spans="21:21" x14ac:dyDescent="0.3">
      <c r="U1558" t="s">
        <v>1873</v>
      </c>
    </row>
    <row r="1559" spans="21:21" x14ac:dyDescent="0.3">
      <c r="U1559" t="s">
        <v>1874</v>
      </c>
    </row>
    <row r="1560" spans="21:21" x14ac:dyDescent="0.3">
      <c r="U1560" t="s">
        <v>1875</v>
      </c>
    </row>
    <row r="1561" spans="21:21" x14ac:dyDescent="0.3">
      <c r="U1561" t="s">
        <v>1876</v>
      </c>
    </row>
    <row r="1562" spans="21:21" x14ac:dyDescent="0.3">
      <c r="U1562" t="s">
        <v>1877</v>
      </c>
    </row>
    <row r="1563" spans="21:21" x14ac:dyDescent="0.3">
      <c r="U1563" t="s">
        <v>1878</v>
      </c>
    </row>
    <row r="1564" spans="21:21" x14ac:dyDescent="0.3">
      <c r="U1564" t="s">
        <v>1879</v>
      </c>
    </row>
    <row r="1565" spans="21:21" x14ac:dyDescent="0.3">
      <c r="U1565" t="s">
        <v>1880</v>
      </c>
    </row>
    <row r="1566" spans="21:21" x14ac:dyDescent="0.3">
      <c r="U1566" t="s">
        <v>1881</v>
      </c>
    </row>
    <row r="1567" spans="21:21" x14ac:dyDescent="0.3">
      <c r="U1567" t="s">
        <v>1882</v>
      </c>
    </row>
    <row r="1568" spans="21:21" x14ac:dyDescent="0.3">
      <c r="U1568" t="s">
        <v>1883</v>
      </c>
    </row>
    <row r="1569" spans="21:21" x14ac:dyDescent="0.3">
      <c r="U1569" t="s">
        <v>1884</v>
      </c>
    </row>
    <row r="1570" spans="21:21" x14ac:dyDescent="0.3">
      <c r="U1570" t="s">
        <v>1885</v>
      </c>
    </row>
    <row r="1571" spans="21:21" x14ac:dyDescent="0.3">
      <c r="U1571" t="s">
        <v>1886</v>
      </c>
    </row>
    <row r="1572" spans="21:21" x14ac:dyDescent="0.3">
      <c r="U1572" t="s">
        <v>1887</v>
      </c>
    </row>
    <row r="1573" spans="21:21" x14ac:dyDescent="0.3">
      <c r="U1573" t="s">
        <v>1888</v>
      </c>
    </row>
    <row r="1574" spans="21:21" x14ac:dyDescent="0.3">
      <c r="U1574" t="s">
        <v>1889</v>
      </c>
    </row>
    <row r="1575" spans="21:21" x14ac:dyDescent="0.3">
      <c r="U1575" t="s">
        <v>1890</v>
      </c>
    </row>
    <row r="1576" spans="21:21" x14ac:dyDescent="0.3">
      <c r="U1576" t="s">
        <v>1891</v>
      </c>
    </row>
    <row r="1577" spans="21:21" x14ac:dyDescent="0.3">
      <c r="U1577" t="s">
        <v>1892</v>
      </c>
    </row>
    <row r="1578" spans="21:21" x14ac:dyDescent="0.3">
      <c r="U1578" t="s">
        <v>1893</v>
      </c>
    </row>
    <row r="1579" spans="21:21" x14ac:dyDescent="0.3">
      <c r="U1579" t="s">
        <v>1894</v>
      </c>
    </row>
    <row r="1580" spans="21:21" x14ac:dyDescent="0.3">
      <c r="U1580" t="s">
        <v>1895</v>
      </c>
    </row>
    <row r="1581" spans="21:21" x14ac:dyDescent="0.3">
      <c r="U1581" t="s">
        <v>1896</v>
      </c>
    </row>
    <row r="1582" spans="21:21" x14ac:dyDescent="0.3">
      <c r="U1582" t="s">
        <v>1897</v>
      </c>
    </row>
    <row r="1583" spans="21:21" x14ac:dyDescent="0.3">
      <c r="U1583" t="s">
        <v>1898</v>
      </c>
    </row>
    <row r="1584" spans="21:21" x14ac:dyDescent="0.3">
      <c r="U1584" t="s">
        <v>1899</v>
      </c>
    </row>
    <row r="1585" spans="21:21" x14ac:dyDescent="0.3">
      <c r="U1585" t="s">
        <v>1900</v>
      </c>
    </row>
    <row r="1586" spans="21:21" x14ac:dyDescent="0.3">
      <c r="U1586" t="s">
        <v>1901</v>
      </c>
    </row>
    <row r="1587" spans="21:21" x14ac:dyDescent="0.3">
      <c r="U1587" t="s">
        <v>1902</v>
      </c>
    </row>
    <row r="1588" spans="21:21" x14ac:dyDescent="0.3">
      <c r="U1588" t="s">
        <v>1903</v>
      </c>
    </row>
    <row r="1589" spans="21:21" x14ac:dyDescent="0.3">
      <c r="U1589" t="s">
        <v>1904</v>
      </c>
    </row>
    <row r="1590" spans="21:21" x14ac:dyDescent="0.3">
      <c r="U1590" t="s">
        <v>1905</v>
      </c>
    </row>
    <row r="1591" spans="21:21" x14ac:dyDescent="0.3">
      <c r="U1591" t="s">
        <v>1906</v>
      </c>
    </row>
    <row r="1592" spans="21:21" x14ac:dyDescent="0.3">
      <c r="U1592" t="s">
        <v>1907</v>
      </c>
    </row>
    <row r="1593" spans="21:21" x14ac:dyDescent="0.3">
      <c r="U1593" t="s">
        <v>1908</v>
      </c>
    </row>
    <row r="1594" spans="21:21" x14ac:dyDescent="0.3">
      <c r="U1594" t="s">
        <v>1909</v>
      </c>
    </row>
    <row r="1595" spans="21:21" x14ac:dyDescent="0.3">
      <c r="U1595" t="s">
        <v>1910</v>
      </c>
    </row>
    <row r="1596" spans="21:21" x14ac:dyDescent="0.3">
      <c r="U1596" t="s">
        <v>1911</v>
      </c>
    </row>
    <row r="1597" spans="21:21" x14ac:dyDescent="0.3">
      <c r="U1597" t="s">
        <v>1912</v>
      </c>
    </row>
    <row r="1598" spans="21:21" x14ac:dyDescent="0.3">
      <c r="U1598" t="s">
        <v>1913</v>
      </c>
    </row>
    <row r="1599" spans="21:21" x14ac:dyDescent="0.3">
      <c r="U1599" t="s">
        <v>1914</v>
      </c>
    </row>
    <row r="1600" spans="21:21" x14ac:dyDescent="0.3">
      <c r="U1600" t="s">
        <v>1915</v>
      </c>
    </row>
    <row r="1601" spans="21:21" x14ac:dyDescent="0.3">
      <c r="U1601" t="s">
        <v>1916</v>
      </c>
    </row>
    <row r="1602" spans="21:21" x14ac:dyDescent="0.3">
      <c r="U1602" t="s">
        <v>1917</v>
      </c>
    </row>
  </sheetData>
  <pageMargins left="0.7" right="0.7" top="0.75" bottom="0.75" header="0.3" footer="0.3"/>
  <pageSetup orientation="portrait" r:id="rId1"/>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31AC72-D982-4A4F-ABCB-6589D2F602C0}">
  <sheetPr codeName="Sheet9">
    <tabColor theme="8"/>
  </sheetPr>
  <dimension ref="B2:I97"/>
  <sheetViews>
    <sheetView zoomScale="80" zoomScaleNormal="80" workbookViewId="0"/>
  </sheetViews>
  <sheetFormatPr defaultColWidth="70.21875" defaultRowHeight="16.8" x14ac:dyDescent="0.4"/>
  <cols>
    <col min="1" max="1" width="9" style="15" customWidth="1"/>
    <col min="2" max="2" width="77" style="15" bestFit="1" customWidth="1"/>
    <col min="3" max="3" width="15.5546875" style="16" customWidth="1"/>
    <col min="4" max="4" width="44.21875" style="15" customWidth="1"/>
    <col min="5" max="5" width="70.21875" style="15" customWidth="1"/>
    <col min="6" max="6" width="149.21875" style="15" customWidth="1"/>
    <col min="7" max="7" width="111.21875" style="15" customWidth="1"/>
    <col min="8" max="16384" width="70.21875" style="15"/>
  </cols>
  <sheetData>
    <row r="2" spans="2:9" x14ac:dyDescent="0.4">
      <c r="B2" s="32" t="s">
        <v>1937</v>
      </c>
      <c r="C2" s="20"/>
      <c r="D2" s="20"/>
      <c r="E2" s="20"/>
      <c r="F2" s="20"/>
      <c r="G2" s="20"/>
      <c r="H2" s="20"/>
      <c r="I2" s="20"/>
    </row>
    <row r="3" spans="2:9" s="17" customFormat="1" x14ac:dyDescent="0.4">
      <c r="B3" s="103" t="s">
        <v>0</v>
      </c>
      <c r="C3" s="103" t="s">
        <v>1</v>
      </c>
      <c r="D3" s="103" t="s">
        <v>2</v>
      </c>
      <c r="E3" s="20"/>
      <c r="F3" s="20"/>
      <c r="G3" s="20"/>
      <c r="H3" s="20"/>
      <c r="I3" s="243"/>
    </row>
    <row r="4" spans="2:9" x14ac:dyDescent="0.4">
      <c r="B4" s="13" t="s">
        <v>3</v>
      </c>
      <c r="C4" s="325" t="s">
        <v>4</v>
      </c>
      <c r="D4" s="344" t="s">
        <v>5</v>
      </c>
      <c r="E4" s="20"/>
      <c r="F4" s="150"/>
      <c r="G4" s="150"/>
      <c r="H4" s="20"/>
      <c r="I4" s="20"/>
    </row>
    <row r="5" spans="2:9" hidden="1" x14ac:dyDescent="0.4">
      <c r="B5" s="325" t="s">
        <v>6</v>
      </c>
      <c r="C5" s="325" t="s">
        <v>7</v>
      </c>
      <c r="D5" s="344" t="s">
        <v>8</v>
      </c>
      <c r="E5" s="324"/>
      <c r="F5" s="150"/>
      <c r="G5" s="150"/>
      <c r="H5" s="20"/>
      <c r="I5" s="20"/>
    </row>
    <row r="6" spans="2:9" hidden="1" x14ac:dyDescent="0.4">
      <c r="B6" s="13" t="s">
        <v>9</v>
      </c>
      <c r="C6" s="13" t="s">
        <v>10</v>
      </c>
      <c r="D6" s="344" t="s">
        <v>11</v>
      </c>
      <c r="E6" s="244"/>
      <c r="F6" s="150"/>
      <c r="G6" s="150"/>
      <c r="H6" s="20"/>
      <c r="I6" s="20"/>
    </row>
    <row r="7" spans="2:9" hidden="1" x14ac:dyDescent="0.4">
      <c r="B7" s="13" t="s">
        <v>12</v>
      </c>
      <c r="C7" s="13" t="s">
        <v>10</v>
      </c>
      <c r="D7" s="344" t="s">
        <v>13</v>
      </c>
      <c r="E7" s="244"/>
      <c r="F7" s="150"/>
      <c r="G7" s="150"/>
      <c r="H7" s="20"/>
      <c r="I7" s="20"/>
    </row>
    <row r="8" spans="2:9" hidden="1" x14ac:dyDescent="0.4">
      <c r="B8" s="13" t="s">
        <v>14</v>
      </c>
      <c r="C8" s="13" t="s">
        <v>10</v>
      </c>
      <c r="D8" s="344" t="s">
        <v>15</v>
      </c>
      <c r="E8" s="244"/>
      <c r="F8" s="150"/>
      <c r="G8" s="150"/>
      <c r="H8" s="20"/>
      <c r="I8" s="20"/>
    </row>
    <row r="9" spans="2:9" hidden="1" x14ac:dyDescent="0.4">
      <c r="B9" s="13" t="s">
        <v>16</v>
      </c>
      <c r="C9" s="13" t="s">
        <v>10</v>
      </c>
      <c r="D9" s="344" t="s">
        <v>17</v>
      </c>
      <c r="E9" s="244"/>
      <c r="F9" s="150"/>
      <c r="G9" s="150"/>
      <c r="H9" s="20"/>
      <c r="I9" s="20"/>
    </row>
    <row r="10" spans="2:9" hidden="1" x14ac:dyDescent="0.4">
      <c r="B10" s="13" t="s">
        <v>18</v>
      </c>
      <c r="C10" s="13" t="s">
        <v>10</v>
      </c>
      <c r="D10" s="344" t="s">
        <v>19</v>
      </c>
      <c r="E10" s="150"/>
      <c r="F10" s="150"/>
      <c r="G10" s="150"/>
      <c r="H10" s="20"/>
      <c r="I10" s="20"/>
    </row>
    <row r="11" spans="2:9" hidden="1" x14ac:dyDescent="0.4">
      <c r="B11" s="13" t="s">
        <v>20</v>
      </c>
      <c r="C11" s="13" t="s">
        <v>10</v>
      </c>
      <c r="D11" s="344" t="s">
        <v>21</v>
      </c>
      <c r="E11" s="150"/>
      <c r="F11" s="150"/>
      <c r="G11" s="150"/>
      <c r="H11" s="20"/>
      <c r="I11" s="20"/>
    </row>
    <row r="12" spans="2:9" x14ac:dyDescent="0.4">
      <c r="B12" s="13" t="s">
        <v>1940</v>
      </c>
      <c r="C12" s="13" t="s">
        <v>22</v>
      </c>
      <c r="D12" s="344" t="s">
        <v>23</v>
      </c>
      <c r="E12" s="150"/>
      <c r="F12" s="150"/>
      <c r="G12" s="150"/>
      <c r="H12" s="20"/>
      <c r="I12" s="20"/>
    </row>
    <row r="13" spans="2:9" hidden="1" x14ac:dyDescent="0.4">
      <c r="B13" s="13" t="s">
        <v>29</v>
      </c>
      <c r="C13" s="13" t="s">
        <v>30</v>
      </c>
      <c r="D13" s="344" t="s">
        <v>31</v>
      </c>
      <c r="E13" s="150"/>
      <c r="F13" s="150"/>
      <c r="G13" s="150"/>
      <c r="H13" s="20"/>
      <c r="I13" s="20"/>
    </row>
    <row r="14" spans="2:9" hidden="1" x14ac:dyDescent="0.4">
      <c r="B14" s="13" t="s">
        <v>32</v>
      </c>
      <c r="C14" s="13" t="s">
        <v>33</v>
      </c>
      <c r="D14" s="344" t="s">
        <v>32</v>
      </c>
      <c r="E14" s="150"/>
      <c r="F14" s="150"/>
      <c r="G14" s="150"/>
      <c r="H14" s="20"/>
      <c r="I14" s="20"/>
    </row>
    <row r="15" spans="2:9" x14ac:dyDescent="0.4">
      <c r="B15" s="13" t="s">
        <v>34</v>
      </c>
      <c r="C15" s="13" t="s">
        <v>35</v>
      </c>
      <c r="D15" s="344" t="s">
        <v>31</v>
      </c>
      <c r="E15" s="150"/>
      <c r="F15" s="150"/>
      <c r="G15" s="150"/>
      <c r="H15" s="20"/>
      <c r="I15" s="20"/>
    </row>
    <row r="16" spans="2:9" hidden="1" x14ac:dyDescent="0.4">
      <c r="B16" s="13" t="s">
        <v>36</v>
      </c>
      <c r="C16" s="13" t="s">
        <v>37</v>
      </c>
      <c r="D16" s="344" t="s">
        <v>31</v>
      </c>
      <c r="E16" s="150"/>
      <c r="F16" s="150"/>
      <c r="G16" s="150"/>
      <c r="H16" s="20"/>
      <c r="I16" s="20"/>
    </row>
    <row r="17" spans="2:9" x14ac:dyDescent="0.4">
      <c r="B17" s="13" t="s">
        <v>1941</v>
      </c>
      <c r="C17" s="13" t="s">
        <v>38</v>
      </c>
      <c r="D17" s="344" t="s">
        <v>28</v>
      </c>
      <c r="E17" s="20"/>
      <c r="F17" s="20"/>
      <c r="G17" s="150"/>
      <c r="H17" s="20"/>
      <c r="I17" s="20"/>
    </row>
    <row r="18" spans="2:9" hidden="1" x14ac:dyDescent="0.4">
      <c r="B18" s="13" t="s">
        <v>1936</v>
      </c>
      <c r="C18" s="14" t="s">
        <v>24</v>
      </c>
      <c r="D18" s="345" t="s">
        <v>25</v>
      </c>
      <c r="E18" s="20"/>
      <c r="F18" s="20"/>
      <c r="G18" s="150"/>
      <c r="H18" s="20"/>
      <c r="I18" s="20"/>
    </row>
    <row r="19" spans="2:9" hidden="1" x14ac:dyDescent="0.4">
      <c r="B19" s="13" t="s">
        <v>26</v>
      </c>
      <c r="C19" s="13" t="s">
        <v>27</v>
      </c>
      <c r="D19" s="344" t="s">
        <v>28</v>
      </c>
      <c r="E19" s="150"/>
      <c r="F19" s="150"/>
      <c r="G19" s="150"/>
      <c r="H19" s="20"/>
      <c r="I19" s="20"/>
    </row>
    <row r="21" spans="2:9" x14ac:dyDescent="0.4">
      <c r="B21" s="20"/>
      <c r="C21" s="20"/>
      <c r="D21" s="20"/>
      <c r="E21" s="20"/>
      <c r="F21" s="20"/>
      <c r="G21" s="20"/>
      <c r="H21" s="20"/>
      <c r="I21" s="20"/>
    </row>
    <row r="22" spans="2:9" x14ac:dyDescent="0.4">
      <c r="B22" s="20"/>
      <c r="C22" s="20"/>
      <c r="D22" s="20"/>
      <c r="E22" s="20"/>
      <c r="F22" s="20"/>
      <c r="G22" s="20"/>
      <c r="H22" s="20"/>
      <c r="I22" s="20"/>
    </row>
    <row r="23" spans="2:9" x14ac:dyDescent="0.4">
      <c r="B23" s="20"/>
      <c r="C23" s="20"/>
      <c r="D23" s="20"/>
      <c r="E23" s="20"/>
      <c r="F23" s="20"/>
      <c r="G23" s="20"/>
      <c r="H23" s="20"/>
      <c r="I23" s="20"/>
    </row>
    <row r="24" spans="2:9" x14ac:dyDescent="0.4">
      <c r="B24" s="20"/>
      <c r="C24" s="20"/>
      <c r="D24" s="20"/>
      <c r="E24" s="20"/>
      <c r="F24" s="20"/>
      <c r="G24" s="20"/>
      <c r="H24" s="20"/>
      <c r="I24" s="20"/>
    </row>
    <row r="25" spans="2:9" x14ac:dyDescent="0.4">
      <c r="C25" s="20"/>
      <c r="D25" s="20"/>
      <c r="E25" s="20"/>
      <c r="F25" s="20"/>
      <c r="G25" s="20"/>
      <c r="H25" s="20"/>
      <c r="I25" s="20"/>
    </row>
    <row r="26" spans="2:9" x14ac:dyDescent="0.4">
      <c r="B26" s="20"/>
      <c r="C26" s="20"/>
      <c r="D26" s="20"/>
      <c r="E26" s="20"/>
      <c r="F26" s="20"/>
      <c r="G26" s="20"/>
      <c r="H26" s="20"/>
      <c r="I26" s="20"/>
    </row>
    <row r="27" spans="2:9" x14ac:dyDescent="0.4">
      <c r="B27" s="20"/>
      <c r="C27" s="20"/>
      <c r="D27" s="20"/>
      <c r="E27" s="20"/>
      <c r="F27" s="20"/>
      <c r="G27" s="20"/>
      <c r="H27" s="20"/>
      <c r="I27" s="20"/>
    </row>
    <row r="28" spans="2:9" x14ac:dyDescent="0.4">
      <c r="B28" s="20"/>
      <c r="C28" s="20"/>
      <c r="D28" s="20"/>
      <c r="E28" s="20"/>
      <c r="F28" s="20"/>
      <c r="G28" s="20"/>
      <c r="H28" s="20"/>
      <c r="I28" s="20"/>
    </row>
    <row r="29" spans="2:9" x14ac:dyDescent="0.4">
      <c r="B29" s="74"/>
      <c r="C29" s="20"/>
      <c r="D29" s="20"/>
      <c r="E29" s="20"/>
      <c r="F29" s="20"/>
      <c r="G29" s="20"/>
      <c r="H29" s="20"/>
      <c r="I29" s="20"/>
    </row>
    <row r="30" spans="2:9" x14ac:dyDescent="0.4">
      <c r="B30" s="74"/>
      <c r="C30" s="20"/>
      <c r="D30" s="20"/>
      <c r="E30" s="20"/>
      <c r="F30" s="20"/>
      <c r="G30" s="20"/>
      <c r="H30" s="20"/>
      <c r="I30" s="20"/>
    </row>
    <row r="31" spans="2:9" x14ac:dyDescent="0.4">
      <c r="B31" s="74"/>
      <c r="C31" s="20"/>
      <c r="D31" s="20"/>
      <c r="E31" s="20"/>
      <c r="F31" s="20"/>
      <c r="G31" s="20"/>
      <c r="H31" s="20"/>
      <c r="I31" s="20"/>
    </row>
    <row r="32" spans="2:9" x14ac:dyDescent="0.4">
      <c r="B32" s="74"/>
      <c r="C32" s="20"/>
      <c r="D32" s="20"/>
      <c r="E32" s="20"/>
      <c r="F32" s="20"/>
      <c r="G32" s="20"/>
      <c r="H32" s="20"/>
      <c r="I32" s="20"/>
    </row>
    <row r="33" spans="2:9" x14ac:dyDescent="0.4">
      <c r="B33" s="74"/>
      <c r="C33" s="20"/>
      <c r="D33" s="20"/>
      <c r="E33" s="20"/>
      <c r="F33" s="20"/>
      <c r="G33" s="20"/>
      <c r="H33" s="20"/>
      <c r="I33" s="20"/>
    </row>
    <row r="34" spans="2:9" x14ac:dyDescent="0.4">
      <c r="B34" s="74"/>
      <c r="C34" s="20"/>
      <c r="D34" s="20"/>
      <c r="E34" s="20"/>
      <c r="F34" s="20"/>
      <c r="G34" s="20"/>
      <c r="H34" s="20"/>
      <c r="I34" s="20"/>
    </row>
    <row r="35" spans="2:9" x14ac:dyDescent="0.4">
      <c r="B35" s="74"/>
      <c r="C35" s="20"/>
      <c r="D35" s="20"/>
      <c r="E35" s="20"/>
      <c r="F35" s="20"/>
      <c r="G35" s="20"/>
      <c r="H35" s="20"/>
      <c r="I35" s="20"/>
    </row>
    <row r="36" spans="2:9" x14ac:dyDescent="0.4">
      <c r="B36" s="74"/>
      <c r="C36" s="20"/>
      <c r="D36" s="20"/>
      <c r="E36" s="20"/>
      <c r="F36" s="20"/>
      <c r="G36" s="20"/>
      <c r="H36" s="20"/>
      <c r="I36" s="20"/>
    </row>
    <row r="37" spans="2:9" x14ac:dyDescent="0.4">
      <c r="B37" s="74"/>
      <c r="C37" s="20"/>
      <c r="D37" s="20"/>
      <c r="E37" s="20"/>
      <c r="F37" s="20"/>
      <c r="G37" s="20"/>
      <c r="H37" s="20"/>
      <c r="I37" s="20"/>
    </row>
    <row r="38" spans="2:9" x14ac:dyDescent="0.4">
      <c r="B38" s="74"/>
      <c r="C38" s="20"/>
      <c r="D38" s="20"/>
      <c r="E38" s="20"/>
      <c r="F38" s="20"/>
      <c r="G38" s="20"/>
      <c r="H38" s="20"/>
      <c r="I38" s="20"/>
    </row>
    <row r="39" spans="2:9" x14ac:dyDescent="0.4">
      <c r="B39" s="74"/>
      <c r="C39" s="20"/>
      <c r="D39" s="20"/>
      <c r="E39" s="20"/>
      <c r="F39" s="20"/>
      <c r="G39" s="20"/>
      <c r="H39" s="20"/>
      <c r="I39" s="20"/>
    </row>
    <row r="40" spans="2:9" x14ac:dyDescent="0.4">
      <c r="B40" s="74"/>
    </row>
    <row r="41" spans="2:9" x14ac:dyDescent="0.4">
      <c r="B41" s="74"/>
    </row>
    <row r="42" spans="2:9" x14ac:dyDescent="0.4">
      <c r="B42" s="74"/>
    </row>
    <row r="43" spans="2:9" x14ac:dyDescent="0.4">
      <c r="B43" s="74"/>
    </row>
    <row r="44" spans="2:9" x14ac:dyDescent="0.4">
      <c r="B44" s="74"/>
    </row>
    <row r="45" spans="2:9" x14ac:dyDescent="0.4">
      <c r="B45" s="74"/>
    </row>
    <row r="46" spans="2:9" x14ac:dyDescent="0.4">
      <c r="B46" s="74"/>
    </row>
    <row r="47" spans="2:9" x14ac:dyDescent="0.4">
      <c r="B47" s="74"/>
    </row>
    <row r="48" spans="2:9" x14ac:dyDescent="0.4">
      <c r="B48" s="74"/>
    </row>
    <row r="49" spans="2:2" x14ac:dyDescent="0.4">
      <c r="B49" s="74"/>
    </row>
    <row r="69" spans="2:3" x14ac:dyDescent="0.4">
      <c r="B69" s="321"/>
      <c r="C69" s="321"/>
    </row>
    <row r="70" spans="2:3" x14ac:dyDescent="0.4">
      <c r="B70" s="322"/>
      <c r="C70" s="322"/>
    </row>
    <row r="71" spans="2:3" x14ac:dyDescent="0.4">
      <c r="B71" s="322"/>
      <c r="C71" s="322"/>
    </row>
    <row r="72" spans="2:3" x14ac:dyDescent="0.4">
      <c r="B72" s="322"/>
      <c r="C72" s="322"/>
    </row>
    <row r="73" spans="2:3" x14ac:dyDescent="0.4">
      <c r="B73" s="322"/>
    </row>
    <row r="74" spans="2:3" x14ac:dyDescent="0.4">
      <c r="B74" s="322"/>
    </row>
    <row r="75" spans="2:3" x14ac:dyDescent="0.4">
      <c r="B75" s="322"/>
    </row>
    <row r="95" spans="2:3" x14ac:dyDescent="0.4">
      <c r="B95" s="321"/>
      <c r="C95" s="321"/>
    </row>
    <row r="96" spans="2:3" x14ac:dyDescent="0.4">
      <c r="B96" s="18"/>
      <c r="C96" s="323"/>
    </row>
    <row r="97" spans="2:3" x14ac:dyDescent="0.4">
      <c r="B97" s="18"/>
      <c r="C97" s="323"/>
    </row>
  </sheetData>
  <sheetProtection algorithmName="SHA-512" hashValue="hrJe575VeeIR1J0e8i+BTyXksozwuEXv2erQPWT7AkP37k3AxL2lrr+3x87Hq7Uwu0RNSZL3AYnOLVsJhmpwcw==" saltValue="p0+ZB1vupvo+ATrMPLMzvQ==" spinCount="100000" sheet="1" objects="1" scenarios="1"/>
  <phoneticPr fontId="6" type="noConversion"/>
  <hyperlinks>
    <hyperlink ref="D4" location="Site and production details!A1" display="Site and production details!A1" xr:uid="{13263AB7-9314-4448-8B06-9A033008EAB8}"/>
    <hyperlink ref="D5" location="'Total escape count'!A1" display="'Total escape count'!A1" xr:uid="{CEBFF267-A551-43F6-B011-8C41ABA2A83D}"/>
    <hyperlink ref="D6" location="'Benthic - MB t1 and t2'!A1" display="'Benthic - MB t1 and t2'!A1" xr:uid="{7CA70B9B-B542-4607-B2E6-4F3E22D5AD93}"/>
    <hyperlink ref="D7" location="'Benthic - MB t3'!A1" display="'Benthic - MB t3'!A1" xr:uid="{5E50B447-3C51-46E6-BBA0-EAD0A937A441}"/>
    <hyperlink ref="D8" location="'Benthic - M t1 and t2'!A1" display="'Benthic - M t1 and t2'!A1" xr:uid="{5FE62A57-ADF8-4A0B-9972-3E9A5D22D0AB}"/>
    <hyperlink ref="D9" location="'Benthic - M t3'!A1" display="'Benthic - M t3'!A1" xr:uid="{E70A2620-52D3-404B-92C9-0AF693FD3A61}"/>
    <hyperlink ref="D10" location="'Benthic - L&amp;R t1 and t2'!A1" display="'Benthic - L&amp;R t1 and t2'!A1" xr:uid="{E7FF9402-0EE7-4D96-8774-79EC83CC3854}"/>
    <hyperlink ref="D11" location="'Benthic impacts - L&amp;R t3'!A1" display="'Benthic impacts - L&amp;R t3'!A1" xr:uid="{F0F01AC8-D284-4316-A8FF-30039F5A6906}"/>
    <hyperlink ref="D12" location="Feed!A1" display="Feed!A1" xr:uid="{044C9546-8349-4C8B-A41B-35D697CDC8C0}"/>
    <hyperlink ref="D18" location="'Sea lice reporting'!A1" display="Sea lice reporting" xr:uid="{E7C281FE-6092-4F5C-BE11-2294B09FD171}"/>
    <hyperlink ref="D19" location="'Veterinary therapeutants'!A1" display="Veterinary therapeutants" xr:uid="{442D3EB8-36E7-42D2-AE1A-02FFA6E0CF95}"/>
    <hyperlink ref="D13" location="Mortality!A1" display="Mortality!A1" xr:uid="{CDD7FDED-FEE7-4466-A1C2-44E8ED09384E}"/>
    <hyperlink ref="D14" location="Mortality!A1" display="Mortality!A1" xr:uid="{D5CB2E0F-59DE-4AA6-9566-506503C434AD}"/>
    <hyperlink ref="D15" location="Mortality!A1" display="Mortality!A1" xr:uid="{168C34F3-F730-45E0-A836-3237C3560DCB}"/>
    <hyperlink ref="D16" location="Mortality!A1" display="Mortality!A1" xr:uid="{1C8451EB-8426-43A2-BD38-10F6B95102E0}"/>
    <hyperlink ref="D17" location="Veterinary therapeutants!A1" display="Veterinary therapeutants!A1" xr:uid="{C616D118-FA59-4D0C-AC50-A7FFFDFBD08D}"/>
    <hyperlink ref="D4" location="'Site and production details'!A1" display="Site and Production details" xr:uid="{C985AE41-6AAA-4C66-9B86-2F4833F68B54}"/>
    <hyperlink ref="D5" location="'Known escapes'!A1" display="Known escapes" xr:uid="{72D8D586-41A4-4040-A534-1DF0D07E2B52}"/>
    <hyperlink ref="D14" location="'Mortality - Cleaner fish'!A1" display="Mortality - Cleaner fish" xr:uid="{DF924786-2BFE-44A6-943D-C0A08EA64B05}"/>
    <hyperlink ref="D17" location="'Veterinary therapeutants'!A1" display="Veterinary therapeutants" xr:uid="{42134E3D-D73F-4EF5-BDFE-AC412D45EF94}"/>
    <hyperlink ref="D6" location="'Benthic - MB Level 1 &amp; 2'!A1" display="Benthic impacts - MB L1 &amp; L2" xr:uid="{ABC2FEEA-E976-442D-887B-4D5221D975B1}"/>
    <hyperlink ref="D7" location="'Benthic - MB Level 3'!A1" display="Benthic impacts - MB L3" xr:uid="{D9D7435E-7DFE-4DC2-8A1D-64B722DA4F86}"/>
    <hyperlink ref="D12" location="Feed!A1" display="Feed" xr:uid="{AAEF7BD5-9A2B-46A4-8534-0C6AF5DC4E1F}"/>
    <hyperlink ref="D8" location="'Benthic - M  Level 1 &amp; 2'!A1" display="Benthic impacts - M L1 &amp; L2" xr:uid="{FA807FD1-B615-4B77-B0BD-EC5894CD1C06}"/>
    <hyperlink ref="D9" location="'Benthic - M  Level 3'!A1" display="Benthic impacts - M L3" xr:uid="{2F05B4A2-0FC7-43E3-83D9-5FBDF32197D4}"/>
    <hyperlink ref="D10" location="'Benthic - L&amp;R Level 1 &amp; 2'!A1" display="Benthic impacts - L&amp;R L1 &amp; L2" xr:uid="{808DD23E-2DCF-43AB-84D4-3CC6666EF0E1}"/>
    <hyperlink ref="D11" location="'Benthic - L&amp;R  Level 3'!A1" display="Benthic impacts - L&amp;R L3" xr:uid="{2DAE8759-9F7E-4CE3-B522-E5569E7C7A96}"/>
  </hyperlink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0259AE-C198-4577-85BF-2D312D8E6786}">
  <sheetPr codeName="Sheet19">
    <tabColor theme="9" tint="0.59999389629810485"/>
  </sheetPr>
  <dimension ref="B2:Q202"/>
  <sheetViews>
    <sheetView zoomScale="80" zoomScaleNormal="80" workbookViewId="0"/>
  </sheetViews>
  <sheetFormatPr defaultColWidth="9" defaultRowHeight="16.8" x14ac:dyDescent="0.4"/>
  <cols>
    <col min="1" max="1" width="9" style="15"/>
    <col min="2" max="2" width="9" style="15" hidden="1" customWidth="1"/>
    <col min="3" max="3" width="19.21875" style="15" customWidth="1"/>
    <col min="4" max="4" width="13" style="15" customWidth="1"/>
    <col min="5" max="5" width="25.21875" style="15" bestFit="1" customWidth="1"/>
    <col min="6" max="6" width="10" style="15" bestFit="1" customWidth="1"/>
    <col min="7" max="7" width="25.44140625" style="15" bestFit="1" customWidth="1"/>
    <col min="8" max="8" width="24" style="15" bestFit="1" customWidth="1"/>
    <col min="9" max="9" width="25.21875" style="15" bestFit="1" customWidth="1"/>
    <col min="10" max="10" width="30.5546875" style="15" customWidth="1"/>
    <col min="11" max="11" width="18.21875" style="15" bestFit="1" customWidth="1"/>
    <col min="12" max="12" width="16.5546875" style="15" bestFit="1" customWidth="1"/>
    <col min="13" max="13" width="33" style="15" bestFit="1" customWidth="1"/>
    <col min="14" max="14" width="31.5546875" style="15" bestFit="1" customWidth="1"/>
    <col min="15" max="15" width="17.21875" style="15" customWidth="1"/>
    <col min="16" max="16" width="11" style="15" customWidth="1"/>
    <col min="17" max="16384" width="9" style="15"/>
  </cols>
  <sheetData>
    <row r="2" spans="3:16" x14ac:dyDescent="0.4">
      <c r="C2" s="18" t="s">
        <v>43</v>
      </c>
    </row>
    <row r="3" spans="3:16" hidden="1" x14ac:dyDescent="0.4">
      <c r="C3" s="15">
        <v>1.1000000000000001</v>
      </c>
      <c r="D3" s="15">
        <v>1.2</v>
      </c>
      <c r="E3" s="15">
        <v>1.3</v>
      </c>
      <c r="F3" s="15">
        <v>1.4</v>
      </c>
      <c r="G3" s="15">
        <v>1.5</v>
      </c>
      <c r="H3" s="15">
        <v>1.6</v>
      </c>
      <c r="I3" s="15">
        <v>1.9</v>
      </c>
      <c r="J3" s="15">
        <v>1.1100000000000001</v>
      </c>
      <c r="K3" s="15">
        <v>1.1399999999999999</v>
      </c>
      <c r="L3" s="15">
        <v>1.1499999999999999</v>
      </c>
      <c r="M3" s="15">
        <v>1.1599999999999999</v>
      </c>
      <c r="N3" s="15">
        <v>1.17</v>
      </c>
      <c r="O3" s="15">
        <v>1.18</v>
      </c>
    </row>
    <row r="4" spans="3:16" s="17" customFormat="1" ht="50.4" x14ac:dyDescent="0.4">
      <c r="C4" s="23" t="s">
        <v>44</v>
      </c>
      <c r="D4" s="23" t="s">
        <v>45</v>
      </c>
      <c r="E4" s="23" t="s">
        <v>46</v>
      </c>
      <c r="F4" s="26" t="s">
        <v>47</v>
      </c>
      <c r="G4" s="23" t="s">
        <v>48</v>
      </c>
      <c r="H4" s="23" t="s">
        <v>49</v>
      </c>
      <c r="I4" s="23" t="s">
        <v>50</v>
      </c>
      <c r="J4" s="23" t="s">
        <v>51</v>
      </c>
      <c r="K4" s="24" t="s">
        <v>52</v>
      </c>
      <c r="L4" s="24" t="s">
        <v>53</v>
      </c>
      <c r="M4" s="23" t="s">
        <v>54</v>
      </c>
      <c r="N4" s="25" t="s">
        <v>55</v>
      </c>
      <c r="O4" s="26" t="s">
        <v>56</v>
      </c>
      <c r="P4" s="24"/>
    </row>
    <row r="5" spans="3:16" x14ac:dyDescent="0.4">
      <c r="C5" s="28"/>
      <c r="D5" s="28"/>
      <c r="E5" s="28"/>
      <c r="F5" s="29"/>
      <c r="G5" s="153"/>
      <c r="H5" s="153"/>
      <c r="I5" s="30"/>
      <c r="J5" s="30"/>
      <c r="K5" s="31"/>
      <c r="L5" s="31"/>
      <c r="M5" s="30"/>
      <c r="N5" s="27" t="str">
        <f>IF(Table126[[#This Row],[Site name]]= "", "",(Table126[[#This Row],[ASC certified harvested production volume (tonnes)]])-(Table126[[#This Row],[ASC certified stocked volume (tonnes)]]))</f>
        <v/>
      </c>
      <c r="O5" s="29"/>
    </row>
    <row r="6" spans="3:16" x14ac:dyDescent="0.4">
      <c r="C6" s="28"/>
      <c r="D6" s="33" t="str">
        <f>IF(Table126[[#This Row],[Site name]]="","",IF(Table126[[#This Row],[Site name]]=$C$5,$D$5,""))</f>
        <v/>
      </c>
      <c r="E6" s="28"/>
      <c r="F6" s="29"/>
      <c r="G6" s="153"/>
      <c r="H6" s="153"/>
      <c r="I6" s="30"/>
      <c r="J6" s="30"/>
      <c r="K6" s="31"/>
      <c r="L6" s="31"/>
      <c r="M6" s="30"/>
      <c r="N6" s="27" t="str">
        <f>IF(Table126[[#This Row],[Site name]]= "", "",(Table126[[#This Row],[ASC certified harvested production volume (tonnes)]])-(Table126[[#This Row],[ASC certified stocked volume (tonnes)]]))</f>
        <v/>
      </c>
      <c r="O6" s="29"/>
    </row>
    <row r="7" spans="3:16" x14ac:dyDescent="0.4">
      <c r="C7" s="28"/>
      <c r="D7" s="33" t="str">
        <f>IF(Table126[[#This Row],[Site name]]="","",IF(Table126[[#This Row],[Site name]]=$C$5,$D$5,""))</f>
        <v/>
      </c>
      <c r="E7" s="28"/>
      <c r="F7" s="29"/>
      <c r="G7" s="153"/>
      <c r="H7" s="153"/>
      <c r="I7" s="30"/>
      <c r="J7" s="30"/>
      <c r="K7" s="31"/>
      <c r="L7" s="31"/>
      <c r="M7" s="30"/>
      <c r="N7" s="27" t="str">
        <f>IF(Table126[[#This Row],[Site name]]= "", "",(Table126[[#This Row],[ASC certified harvested production volume (tonnes)]])-(Table126[[#This Row],[ASC certified stocked volume (tonnes)]]))</f>
        <v/>
      </c>
      <c r="O7" s="29"/>
    </row>
    <row r="8" spans="3:16" x14ac:dyDescent="0.4">
      <c r="C8" s="28"/>
      <c r="D8" s="33" t="str">
        <f>IF(Table126[[#This Row],[Site name]]="","",IF(Table126[[#This Row],[Site name]]=$C$5,$D$5,""))</f>
        <v/>
      </c>
      <c r="E8" s="28"/>
      <c r="F8" s="29"/>
      <c r="G8" s="153"/>
      <c r="H8" s="153"/>
      <c r="I8" s="30"/>
      <c r="J8" s="30"/>
      <c r="K8" s="31"/>
      <c r="L8" s="31"/>
      <c r="M8" s="30"/>
      <c r="N8" s="27" t="str">
        <f>IF(Table126[[#This Row],[Site name]]= "", "",(Table126[[#This Row],[ASC certified harvested production volume (tonnes)]])-(Table126[[#This Row],[ASC certified stocked volume (tonnes)]]))</f>
        <v/>
      </c>
      <c r="O8" s="29"/>
    </row>
    <row r="9" spans="3:16" x14ac:dyDescent="0.4">
      <c r="C9" s="28"/>
      <c r="D9" s="33" t="str">
        <f>IF(Table126[[#This Row],[Site name]]="","",IF(Table126[[#This Row],[Site name]]=$C$5,$D$5,""))</f>
        <v/>
      </c>
      <c r="E9" s="28"/>
      <c r="F9" s="29"/>
      <c r="G9" s="153"/>
      <c r="H9" s="153"/>
      <c r="I9" s="30"/>
      <c r="J9" s="30"/>
      <c r="K9" s="31"/>
      <c r="L9" s="31"/>
      <c r="M9" s="30"/>
      <c r="N9" s="27" t="str">
        <f>IF(Table126[[#This Row],[Site name]]= "", "",(Table126[[#This Row],[ASC certified harvested production volume (tonnes)]])-(Table126[[#This Row],[ASC certified stocked volume (tonnes)]]))</f>
        <v/>
      </c>
      <c r="O9" s="29"/>
    </row>
    <row r="10" spans="3:16" x14ac:dyDescent="0.4">
      <c r="C10" s="28"/>
      <c r="D10" s="33" t="str">
        <f>IF(Table126[[#This Row],[Site name]]="","",IF(Table126[[#This Row],[Site name]]=$C$5,$D$5,""))</f>
        <v/>
      </c>
      <c r="E10" s="28"/>
      <c r="F10" s="29"/>
      <c r="G10" s="153"/>
      <c r="H10" s="153"/>
      <c r="I10" s="30"/>
      <c r="J10" s="30"/>
      <c r="K10" s="31"/>
      <c r="L10" s="31"/>
      <c r="M10" s="30"/>
      <c r="N10" s="27" t="str">
        <f>IF(Table126[[#This Row],[Site name]]= "", "",(Table126[[#This Row],[ASC certified harvested production volume (tonnes)]])-(Table126[[#This Row],[ASC certified stocked volume (tonnes)]]))</f>
        <v/>
      </c>
      <c r="O10" s="29"/>
    </row>
    <row r="11" spans="3:16" x14ac:dyDescent="0.4">
      <c r="C11" s="28"/>
      <c r="D11" s="33" t="str">
        <f>IF(Table126[[#This Row],[Site name]]="","",IF(Table126[[#This Row],[Site name]]=$C$5,$D$5,""))</f>
        <v/>
      </c>
      <c r="E11" s="28"/>
      <c r="F11" s="29"/>
      <c r="G11" s="153"/>
      <c r="H11" s="153"/>
      <c r="I11" s="30"/>
      <c r="J11" s="30"/>
      <c r="K11" s="31"/>
      <c r="L11" s="31"/>
      <c r="M11" s="30"/>
      <c r="N11" s="27" t="str">
        <f>IF(Table126[[#This Row],[Site name]]= "", "",(Table126[[#This Row],[ASC certified harvested production volume (tonnes)]])-(Table126[[#This Row],[ASC certified stocked volume (tonnes)]]))</f>
        <v/>
      </c>
      <c r="O11" s="29"/>
    </row>
    <row r="12" spans="3:16" x14ac:dyDescent="0.4">
      <c r="C12" s="28"/>
      <c r="D12" s="33" t="str">
        <f>IF(Table126[[#This Row],[Site name]]="","",IF(Table126[[#This Row],[Site name]]=$C$5,$D$5,""))</f>
        <v/>
      </c>
      <c r="E12" s="28"/>
      <c r="F12" s="29"/>
      <c r="G12" s="153"/>
      <c r="H12" s="153"/>
      <c r="I12" s="30"/>
      <c r="J12" s="30"/>
      <c r="K12" s="31"/>
      <c r="L12" s="31"/>
      <c r="M12" s="30"/>
      <c r="N12" s="27" t="str">
        <f>IF(Table126[[#This Row],[Site name]]= "", "",(Table126[[#This Row],[ASC certified harvested production volume (tonnes)]])-(Table126[[#This Row],[ASC certified stocked volume (tonnes)]]))</f>
        <v/>
      </c>
      <c r="O12" s="29"/>
    </row>
    <row r="13" spans="3:16" x14ac:dyDescent="0.4">
      <c r="C13" s="28"/>
      <c r="D13" s="33" t="str">
        <f>IF(Table126[[#This Row],[Site name]]="","",IF(Table126[[#This Row],[Site name]]=$C$5,$D$5,""))</f>
        <v/>
      </c>
      <c r="E13" s="28"/>
      <c r="F13" s="29"/>
      <c r="G13" s="153"/>
      <c r="H13" s="153"/>
      <c r="I13" s="30"/>
      <c r="J13" s="30"/>
      <c r="K13" s="31"/>
      <c r="L13" s="31"/>
      <c r="M13" s="30"/>
      <c r="N13" s="27" t="str">
        <f>IF(Table126[[#This Row],[Site name]]= "", "",(Table126[[#This Row],[ASC certified harvested production volume (tonnes)]])-(Table126[[#This Row],[ASC certified stocked volume (tonnes)]]))</f>
        <v/>
      </c>
      <c r="O13" s="29"/>
    </row>
    <row r="14" spans="3:16" x14ac:dyDescent="0.4">
      <c r="C14" s="28"/>
      <c r="D14" s="33" t="str">
        <f>IF(Table126[[#This Row],[Site name]]="","",IF(Table126[[#This Row],[Site name]]=$C$5,$D$5,""))</f>
        <v/>
      </c>
      <c r="E14" s="28"/>
      <c r="F14" s="29"/>
      <c r="G14" s="153"/>
      <c r="H14" s="153"/>
      <c r="I14" s="30"/>
      <c r="J14" s="30"/>
      <c r="K14" s="31"/>
      <c r="L14" s="31"/>
      <c r="M14" s="30"/>
      <c r="N14" s="27" t="str">
        <f>IF(Table126[[#This Row],[Site name]]= "", "",(Table126[[#This Row],[ASC certified harvested production volume (tonnes)]])-(Table126[[#This Row],[ASC certified stocked volume (tonnes)]]))</f>
        <v/>
      </c>
      <c r="O14" s="29"/>
    </row>
    <row r="15" spans="3:16" x14ac:dyDescent="0.4">
      <c r="C15" s="28"/>
      <c r="D15" s="33" t="str">
        <f>IF(Table126[[#This Row],[Site name]]="","",IF(Table126[[#This Row],[Site name]]=$C$5,$D$5,""))</f>
        <v/>
      </c>
      <c r="E15" s="28"/>
      <c r="F15" s="29"/>
      <c r="G15" s="153"/>
      <c r="H15" s="153"/>
      <c r="I15" s="30"/>
      <c r="J15" s="30"/>
      <c r="K15" s="31"/>
      <c r="L15" s="31"/>
      <c r="M15" s="30"/>
      <c r="N15" s="27" t="str">
        <f>IF(Table126[[#This Row],[Site name]]= "", "",(Table126[[#This Row],[ASC certified harvested production volume (tonnes)]])-(Table126[[#This Row],[ASC certified stocked volume (tonnes)]]))</f>
        <v/>
      </c>
      <c r="O15" s="29"/>
    </row>
    <row r="16" spans="3:16" x14ac:dyDescent="0.4">
      <c r="C16" s="28"/>
      <c r="D16" s="33" t="str">
        <f>IF(Table126[[#This Row],[Site name]]="","",IF(Table126[[#This Row],[Site name]]=$C$5,$D$5,""))</f>
        <v/>
      </c>
      <c r="E16" s="28"/>
      <c r="F16" s="29"/>
      <c r="G16" s="153"/>
      <c r="H16" s="153"/>
      <c r="I16" s="30"/>
      <c r="J16" s="30"/>
      <c r="K16" s="31"/>
      <c r="L16" s="31"/>
      <c r="M16" s="30"/>
      <c r="N16" s="27" t="str">
        <f>IF(Table126[[#This Row],[Site name]]= "", "",(Table126[[#This Row],[ASC certified harvested production volume (tonnes)]])-(Table126[[#This Row],[ASC certified stocked volume (tonnes)]]))</f>
        <v/>
      </c>
      <c r="O16" s="29"/>
    </row>
    <row r="17" spans="3:15" x14ac:dyDescent="0.4">
      <c r="C17" s="28"/>
      <c r="D17" s="33" t="str">
        <f>IF(Table126[[#This Row],[Site name]]="","",IF(Table126[[#This Row],[Site name]]=$C$5,$D$5,""))</f>
        <v/>
      </c>
      <c r="E17" s="28"/>
      <c r="F17" s="29"/>
      <c r="G17" s="153"/>
      <c r="H17" s="153"/>
      <c r="I17" s="30"/>
      <c r="J17" s="30"/>
      <c r="K17" s="31"/>
      <c r="L17" s="31"/>
      <c r="M17" s="30"/>
      <c r="N17" s="27" t="str">
        <f>IF(Table126[[#This Row],[Site name]]= "", "",(Table126[[#This Row],[ASC certified harvested production volume (tonnes)]])-(Table126[[#This Row],[ASC certified stocked volume (tonnes)]]))</f>
        <v/>
      </c>
      <c r="O17" s="29"/>
    </row>
    <row r="18" spans="3:15" x14ac:dyDescent="0.4">
      <c r="C18" s="28"/>
      <c r="D18" s="33" t="str">
        <f>IF(Table126[[#This Row],[Site name]]="","",IF(Table126[[#This Row],[Site name]]=$C$5,$D$5,""))</f>
        <v/>
      </c>
      <c r="E18" s="28"/>
      <c r="F18" s="29"/>
      <c r="G18" s="153"/>
      <c r="H18" s="153"/>
      <c r="I18" s="30"/>
      <c r="J18" s="30"/>
      <c r="K18" s="31"/>
      <c r="L18" s="31"/>
      <c r="M18" s="30"/>
      <c r="N18" s="27" t="str">
        <f>IF(Table126[[#This Row],[Site name]]= "", "",(Table126[[#This Row],[ASC certified harvested production volume (tonnes)]])-(Table126[[#This Row],[ASC certified stocked volume (tonnes)]]))</f>
        <v/>
      </c>
      <c r="O18" s="29"/>
    </row>
    <row r="19" spans="3:15" x14ac:dyDescent="0.4">
      <c r="C19" s="28"/>
      <c r="D19" s="33" t="str">
        <f>IF(Table126[[#This Row],[Site name]]="","",IF(Table126[[#This Row],[Site name]]=$C$5,$D$5,""))</f>
        <v/>
      </c>
      <c r="E19" s="28"/>
      <c r="F19" s="29"/>
      <c r="G19" s="153"/>
      <c r="H19" s="153"/>
      <c r="I19" s="30"/>
      <c r="J19" s="30"/>
      <c r="K19" s="31"/>
      <c r="L19" s="31"/>
      <c r="M19" s="30"/>
      <c r="N19" s="27" t="str">
        <f>IF(Table126[[#This Row],[Site name]]= "", "",(Table126[[#This Row],[ASC certified harvested production volume (tonnes)]])-(Table126[[#This Row],[ASC certified stocked volume (tonnes)]]))</f>
        <v/>
      </c>
      <c r="O19" s="29"/>
    </row>
    <row r="20" spans="3:15" x14ac:dyDescent="0.4">
      <c r="C20" s="28"/>
      <c r="D20" s="33" t="str">
        <f>IF(Table126[[#This Row],[Site name]]="","",IF(Table126[[#This Row],[Site name]]=$C$5,$D$5,""))</f>
        <v/>
      </c>
      <c r="E20" s="28"/>
      <c r="F20" s="29"/>
      <c r="G20" s="153"/>
      <c r="H20" s="153"/>
      <c r="I20" s="30"/>
      <c r="J20" s="30"/>
      <c r="K20" s="31"/>
      <c r="L20" s="31"/>
      <c r="M20" s="30"/>
      <c r="N20" s="27" t="str">
        <f>IF(Table126[[#This Row],[Site name]]= "", "",(Table126[[#This Row],[ASC certified harvested production volume (tonnes)]])-(Table126[[#This Row],[ASC certified stocked volume (tonnes)]]))</f>
        <v/>
      </c>
      <c r="O20" s="29"/>
    </row>
    <row r="21" spans="3:15" x14ac:dyDescent="0.4">
      <c r="C21" s="28"/>
      <c r="D21" s="33" t="str">
        <f>IF(Table126[[#This Row],[Site name]]="","",IF(Table126[[#This Row],[Site name]]=$C$5,$D$5,""))</f>
        <v/>
      </c>
      <c r="E21" s="28"/>
      <c r="F21" s="29"/>
      <c r="G21" s="153"/>
      <c r="H21" s="153"/>
      <c r="I21" s="30"/>
      <c r="J21" s="30"/>
      <c r="K21" s="31"/>
      <c r="L21" s="31"/>
      <c r="M21" s="30"/>
      <c r="N21" s="27" t="str">
        <f>IF(Table126[[#This Row],[Site name]]= "", "",(Table126[[#This Row],[ASC certified harvested production volume (tonnes)]])-(Table126[[#This Row],[ASC certified stocked volume (tonnes)]]))</f>
        <v/>
      </c>
      <c r="O21" s="29"/>
    </row>
    <row r="22" spans="3:15" x14ac:dyDescent="0.4">
      <c r="C22" s="28"/>
      <c r="D22" s="33" t="str">
        <f>IF(Table126[[#This Row],[Site name]]="","",IF(Table126[[#This Row],[Site name]]=$C$5,$D$5,""))</f>
        <v/>
      </c>
      <c r="E22" s="28"/>
      <c r="F22" s="29"/>
      <c r="G22" s="153"/>
      <c r="H22" s="153"/>
      <c r="I22" s="30"/>
      <c r="J22" s="30"/>
      <c r="K22" s="31"/>
      <c r="L22" s="31"/>
      <c r="M22" s="30"/>
      <c r="N22" s="27" t="str">
        <f>IF(Table126[[#This Row],[Site name]]= "", "",(Table126[[#This Row],[ASC certified harvested production volume (tonnes)]])-(Table126[[#This Row],[ASC certified stocked volume (tonnes)]]))</f>
        <v/>
      </c>
      <c r="O22" s="29"/>
    </row>
    <row r="23" spans="3:15" x14ac:dyDescent="0.4">
      <c r="C23" s="28"/>
      <c r="D23" s="33" t="str">
        <f>IF(Table126[[#This Row],[Site name]]="","",IF(Table126[[#This Row],[Site name]]=$C$5,$D$5,""))</f>
        <v/>
      </c>
      <c r="E23" s="28"/>
      <c r="F23" s="29"/>
      <c r="G23" s="153"/>
      <c r="H23" s="153"/>
      <c r="I23" s="30"/>
      <c r="J23" s="30"/>
      <c r="K23" s="31"/>
      <c r="L23" s="31"/>
      <c r="M23" s="30"/>
      <c r="N23" s="27" t="str">
        <f>IF(Table126[[#This Row],[Site name]]= "", "",(Table126[[#This Row],[ASC certified harvested production volume (tonnes)]])-(Table126[[#This Row],[ASC certified stocked volume (tonnes)]]))</f>
        <v/>
      </c>
      <c r="O23" s="29"/>
    </row>
    <row r="24" spans="3:15" x14ac:dyDescent="0.4">
      <c r="C24" s="28"/>
      <c r="D24" s="33" t="str">
        <f>IF(Table126[[#This Row],[Site name]]="","",IF(Table126[[#This Row],[Site name]]=$C$5,$D$5,""))</f>
        <v/>
      </c>
      <c r="E24" s="28"/>
      <c r="F24" s="29"/>
      <c r="G24" s="153"/>
      <c r="H24" s="153"/>
      <c r="I24" s="30"/>
      <c r="J24" s="30"/>
      <c r="K24" s="31"/>
      <c r="L24" s="31"/>
      <c r="M24" s="30"/>
      <c r="N24" s="27" t="str">
        <f>IF(Table126[[#This Row],[Site name]]= "", "",(Table126[[#This Row],[ASC certified harvested production volume (tonnes)]])-(Table126[[#This Row],[ASC certified stocked volume (tonnes)]]))</f>
        <v/>
      </c>
      <c r="O24" s="29"/>
    </row>
    <row r="25" spans="3:15" x14ac:dyDescent="0.4">
      <c r="C25" s="28"/>
      <c r="D25" s="33" t="str">
        <f>IF(Table126[[#This Row],[Site name]]="","",IF(Table126[[#This Row],[Site name]]=$C$5,$D$5,""))</f>
        <v/>
      </c>
      <c r="E25" s="28"/>
      <c r="F25" s="29"/>
      <c r="G25" s="153"/>
      <c r="H25" s="153"/>
      <c r="I25" s="30"/>
      <c r="J25" s="30"/>
      <c r="K25" s="31"/>
      <c r="L25" s="31"/>
      <c r="M25" s="30"/>
      <c r="N25" s="27" t="str">
        <f>IF(Table126[[#This Row],[Site name]]= "", "",(Table126[[#This Row],[ASC certified harvested production volume (tonnes)]])-(Table126[[#This Row],[ASC certified stocked volume (tonnes)]]))</f>
        <v/>
      </c>
      <c r="O25" s="29"/>
    </row>
    <row r="26" spans="3:15" x14ac:dyDescent="0.4">
      <c r="C26" s="28"/>
      <c r="D26" s="33" t="str">
        <f>IF(Table126[[#This Row],[Site name]]="","",IF(Table126[[#This Row],[Site name]]=$C$5,$D$5,""))</f>
        <v/>
      </c>
      <c r="E26" s="28"/>
      <c r="F26" s="29"/>
      <c r="G26" s="153"/>
      <c r="H26" s="153"/>
      <c r="I26" s="30"/>
      <c r="J26" s="30"/>
      <c r="K26" s="31"/>
      <c r="L26" s="31"/>
      <c r="M26" s="30"/>
      <c r="N26" s="27" t="str">
        <f>IF(Table126[[#This Row],[Site name]]= "", "",(Table126[[#This Row],[ASC certified harvested production volume (tonnes)]])-(Table126[[#This Row],[ASC certified stocked volume (tonnes)]]))</f>
        <v/>
      </c>
      <c r="O26" s="29"/>
    </row>
    <row r="27" spans="3:15" x14ac:dyDescent="0.4">
      <c r="C27" s="28"/>
      <c r="D27" s="33" t="str">
        <f>IF(Table126[[#This Row],[Site name]]="","",IF(Table126[[#This Row],[Site name]]=$C$5,$D$5,""))</f>
        <v/>
      </c>
      <c r="E27" s="28"/>
      <c r="F27" s="29"/>
      <c r="G27" s="153"/>
      <c r="H27" s="153"/>
      <c r="I27" s="30"/>
      <c r="J27" s="30"/>
      <c r="K27" s="31"/>
      <c r="L27" s="31"/>
      <c r="M27" s="30"/>
      <c r="N27" s="27" t="str">
        <f>IF(Table126[[#This Row],[Site name]]= "", "",(Table126[[#This Row],[ASC certified harvested production volume (tonnes)]])-(Table126[[#This Row],[ASC certified stocked volume (tonnes)]]))</f>
        <v/>
      </c>
      <c r="O27" s="29"/>
    </row>
    <row r="28" spans="3:15" x14ac:dyDescent="0.4">
      <c r="C28" s="28"/>
      <c r="D28" s="33" t="str">
        <f>IF(Table126[[#This Row],[Site name]]="","",IF(Table126[[#This Row],[Site name]]=$C$5,$D$5,""))</f>
        <v/>
      </c>
      <c r="E28" s="28"/>
      <c r="F28" s="29"/>
      <c r="G28" s="153"/>
      <c r="H28" s="153"/>
      <c r="I28" s="30"/>
      <c r="J28" s="30"/>
      <c r="K28" s="31"/>
      <c r="L28" s="31"/>
      <c r="M28" s="30"/>
      <c r="N28" s="27" t="str">
        <f>IF(Table126[[#This Row],[Site name]]= "", "",(Table126[[#This Row],[ASC certified harvested production volume (tonnes)]])-(Table126[[#This Row],[ASC certified stocked volume (tonnes)]]))</f>
        <v/>
      </c>
      <c r="O28" s="29"/>
    </row>
    <row r="29" spans="3:15" x14ac:dyDescent="0.4">
      <c r="C29" s="28"/>
      <c r="D29" s="33" t="str">
        <f>IF(Table126[[#This Row],[Site name]]="","",IF(Table126[[#This Row],[Site name]]=$C$5,$D$5,""))</f>
        <v/>
      </c>
      <c r="E29" s="28"/>
      <c r="F29" s="29"/>
      <c r="G29" s="153"/>
      <c r="H29" s="153"/>
      <c r="I29" s="30"/>
      <c r="J29" s="30"/>
      <c r="K29" s="31"/>
      <c r="L29" s="31"/>
      <c r="M29" s="30"/>
      <c r="N29" s="27" t="str">
        <f>IF(Table126[[#This Row],[Site name]]= "", "",(Table126[[#This Row],[ASC certified harvested production volume (tonnes)]])-(Table126[[#This Row],[ASC certified stocked volume (tonnes)]]))</f>
        <v/>
      </c>
      <c r="O29" s="29"/>
    </row>
    <row r="30" spans="3:15" x14ac:dyDescent="0.4">
      <c r="C30" s="28"/>
      <c r="D30" s="33" t="str">
        <f>IF(Table126[[#This Row],[Site name]]="","",IF(Table126[[#This Row],[Site name]]=$C$5,$D$5,""))</f>
        <v/>
      </c>
      <c r="E30" s="28"/>
      <c r="F30" s="29"/>
      <c r="G30" s="153"/>
      <c r="H30" s="153"/>
      <c r="I30" s="30"/>
      <c r="J30" s="30"/>
      <c r="K30" s="31"/>
      <c r="L30" s="31"/>
      <c r="M30" s="30"/>
      <c r="N30" s="27" t="str">
        <f>IF(Table126[[#This Row],[Site name]]= "", "",(Table126[[#This Row],[ASC certified harvested production volume (tonnes)]])-(Table126[[#This Row],[ASC certified stocked volume (tonnes)]]))</f>
        <v/>
      </c>
      <c r="O30" s="29"/>
    </row>
    <row r="31" spans="3:15" x14ac:dyDescent="0.4">
      <c r="C31" s="28"/>
      <c r="D31" s="33" t="str">
        <f>IF(Table126[[#This Row],[Site name]]="","",IF(Table126[[#This Row],[Site name]]=$C$5,$D$5,""))</f>
        <v/>
      </c>
      <c r="E31" s="28"/>
      <c r="F31" s="29"/>
      <c r="G31" s="153"/>
      <c r="H31" s="153"/>
      <c r="I31" s="30"/>
      <c r="J31" s="30"/>
      <c r="K31" s="31"/>
      <c r="L31" s="31"/>
      <c r="M31" s="30"/>
      <c r="N31" s="27" t="str">
        <f>IF(Table126[[#This Row],[Site name]]= "", "",(Table126[[#This Row],[ASC certified harvested production volume (tonnes)]])-(Table126[[#This Row],[ASC certified stocked volume (tonnes)]]))</f>
        <v/>
      </c>
      <c r="O31" s="29"/>
    </row>
    <row r="32" spans="3:15" x14ac:dyDescent="0.4">
      <c r="C32" s="28"/>
      <c r="D32" s="33" t="str">
        <f>IF(Table126[[#This Row],[Site name]]="","",IF(Table126[[#This Row],[Site name]]=$C$5,$D$5,""))</f>
        <v/>
      </c>
      <c r="E32" s="28"/>
      <c r="F32" s="29"/>
      <c r="G32" s="153"/>
      <c r="H32" s="153"/>
      <c r="I32" s="30"/>
      <c r="J32" s="30"/>
      <c r="K32" s="31"/>
      <c r="L32" s="31"/>
      <c r="M32" s="30"/>
      <c r="N32" s="27" t="str">
        <f>IF(Table126[[#This Row],[Site name]]= "", "",(Table126[[#This Row],[ASC certified harvested production volume (tonnes)]])-(Table126[[#This Row],[ASC certified stocked volume (tonnes)]]))</f>
        <v/>
      </c>
      <c r="O32" s="29"/>
    </row>
    <row r="33" spans="3:15" x14ac:dyDescent="0.4">
      <c r="C33" s="28"/>
      <c r="D33" s="33" t="str">
        <f>IF(Table126[[#This Row],[Site name]]="","",IF(Table126[[#This Row],[Site name]]=$C$5,$D$5,""))</f>
        <v/>
      </c>
      <c r="E33" s="28"/>
      <c r="F33" s="29"/>
      <c r="G33" s="153"/>
      <c r="H33" s="153"/>
      <c r="I33" s="30"/>
      <c r="J33" s="30"/>
      <c r="K33" s="31"/>
      <c r="L33" s="31"/>
      <c r="M33" s="30"/>
      <c r="N33" s="27" t="str">
        <f>IF(Table126[[#This Row],[Site name]]= "", "",(Table126[[#This Row],[ASC certified harvested production volume (tonnes)]])-(Table126[[#This Row],[ASC certified stocked volume (tonnes)]]))</f>
        <v/>
      </c>
      <c r="O33" s="29"/>
    </row>
    <row r="34" spans="3:15" x14ac:dyDescent="0.4">
      <c r="C34" s="28"/>
      <c r="D34" s="33" t="str">
        <f>IF(Table126[[#This Row],[Site name]]="","",IF(Table126[[#This Row],[Site name]]=$C$5,$D$5,""))</f>
        <v/>
      </c>
      <c r="E34" s="28"/>
      <c r="F34" s="29"/>
      <c r="G34" s="153"/>
      <c r="H34" s="153"/>
      <c r="I34" s="30"/>
      <c r="J34" s="30"/>
      <c r="K34" s="31"/>
      <c r="L34" s="31"/>
      <c r="M34" s="30"/>
      <c r="N34" s="27" t="str">
        <f>IF(Table126[[#This Row],[Site name]]= "", "",(Table126[[#This Row],[ASC certified harvested production volume (tonnes)]])-(Table126[[#This Row],[ASC certified stocked volume (tonnes)]]))</f>
        <v/>
      </c>
      <c r="O34" s="29"/>
    </row>
    <row r="35" spans="3:15" x14ac:dyDescent="0.4">
      <c r="C35" s="28"/>
      <c r="D35" s="33" t="str">
        <f>IF(Table126[[#This Row],[Site name]]="","",IF(Table126[[#This Row],[Site name]]=$C$5,$D$5,""))</f>
        <v/>
      </c>
      <c r="E35" s="28"/>
      <c r="F35" s="29"/>
      <c r="G35" s="153"/>
      <c r="H35" s="153"/>
      <c r="I35" s="30"/>
      <c r="J35" s="30"/>
      <c r="K35" s="31"/>
      <c r="L35" s="31"/>
      <c r="M35" s="30"/>
      <c r="N35" s="27" t="str">
        <f>IF(Table126[[#This Row],[Site name]]= "", "",(Table126[[#This Row],[ASC certified harvested production volume (tonnes)]])-(Table126[[#This Row],[ASC certified stocked volume (tonnes)]]))</f>
        <v/>
      </c>
      <c r="O35" s="29"/>
    </row>
    <row r="36" spans="3:15" x14ac:dyDescent="0.4">
      <c r="C36" s="28"/>
      <c r="D36" s="33" t="str">
        <f>IF(Table126[[#This Row],[Site name]]="","",IF(Table126[[#This Row],[Site name]]=$C$5,$D$5,""))</f>
        <v/>
      </c>
      <c r="E36" s="28"/>
      <c r="F36" s="29"/>
      <c r="G36" s="153"/>
      <c r="H36" s="153"/>
      <c r="I36" s="30"/>
      <c r="J36" s="30"/>
      <c r="K36" s="31"/>
      <c r="L36" s="31"/>
      <c r="M36" s="30"/>
      <c r="N36" s="27" t="str">
        <f>IF(Table126[[#This Row],[Site name]]= "", "",(Table126[[#This Row],[ASC certified harvested production volume (tonnes)]])-(Table126[[#This Row],[ASC certified stocked volume (tonnes)]]))</f>
        <v/>
      </c>
      <c r="O36" s="29"/>
    </row>
    <row r="37" spans="3:15" x14ac:dyDescent="0.4">
      <c r="C37" s="28"/>
      <c r="D37" s="33" t="str">
        <f>IF(Table126[[#This Row],[Site name]]="","",IF(Table126[[#This Row],[Site name]]=$C$5,$D$5,""))</f>
        <v/>
      </c>
      <c r="E37" s="28"/>
      <c r="F37" s="29"/>
      <c r="G37" s="153"/>
      <c r="H37" s="153"/>
      <c r="I37" s="30"/>
      <c r="J37" s="30"/>
      <c r="K37" s="31"/>
      <c r="L37" s="31"/>
      <c r="M37" s="30"/>
      <c r="N37" s="27" t="str">
        <f>IF(Table126[[#This Row],[Site name]]= "", "",(Table126[[#This Row],[ASC certified harvested production volume (tonnes)]])-(Table126[[#This Row],[ASC certified stocked volume (tonnes)]]))</f>
        <v/>
      </c>
      <c r="O37" s="29"/>
    </row>
    <row r="38" spans="3:15" x14ac:dyDescent="0.4">
      <c r="C38" s="28"/>
      <c r="D38" s="33" t="str">
        <f>IF(Table126[[#This Row],[Site name]]="","",IF(Table126[[#This Row],[Site name]]=$C$5,$D$5,""))</f>
        <v/>
      </c>
      <c r="E38" s="28"/>
      <c r="F38" s="29"/>
      <c r="G38" s="153"/>
      <c r="H38" s="153"/>
      <c r="I38" s="30"/>
      <c r="J38" s="30"/>
      <c r="K38" s="31"/>
      <c r="L38" s="31"/>
      <c r="M38" s="30"/>
      <c r="N38" s="27" t="str">
        <f>IF(Table126[[#This Row],[Site name]]= "", "",(Table126[[#This Row],[ASC certified harvested production volume (tonnes)]])-(Table126[[#This Row],[ASC certified stocked volume (tonnes)]]))</f>
        <v/>
      </c>
      <c r="O38" s="29"/>
    </row>
    <row r="39" spans="3:15" x14ac:dyDescent="0.4">
      <c r="C39" s="28"/>
      <c r="D39" s="33" t="str">
        <f>IF(Table126[[#This Row],[Site name]]="","",IF(Table126[[#This Row],[Site name]]=$C$5,$D$5,""))</f>
        <v/>
      </c>
      <c r="E39" s="28"/>
      <c r="F39" s="29"/>
      <c r="G39" s="153"/>
      <c r="H39" s="153"/>
      <c r="I39" s="30"/>
      <c r="J39" s="30"/>
      <c r="K39" s="31"/>
      <c r="L39" s="31"/>
      <c r="M39" s="30"/>
      <c r="N39" s="27" t="str">
        <f>IF(Table126[[#This Row],[Site name]]= "", "",(Table126[[#This Row],[ASC certified harvested production volume (tonnes)]])-(Table126[[#This Row],[ASC certified stocked volume (tonnes)]]))</f>
        <v/>
      </c>
      <c r="O39" s="29"/>
    </row>
    <row r="40" spans="3:15" x14ac:dyDescent="0.4">
      <c r="C40" s="28"/>
      <c r="D40" s="33" t="str">
        <f>IF(Table126[[#This Row],[Site name]]="","",IF(Table126[[#This Row],[Site name]]=$C$5,$D$5,""))</f>
        <v/>
      </c>
      <c r="E40" s="28"/>
      <c r="F40" s="29"/>
      <c r="G40" s="153"/>
      <c r="H40" s="153"/>
      <c r="I40" s="30"/>
      <c r="J40" s="30"/>
      <c r="K40" s="31"/>
      <c r="L40" s="31"/>
      <c r="M40" s="30"/>
      <c r="N40" s="27" t="str">
        <f>IF(Table126[[#This Row],[Site name]]= "", "",(Table126[[#This Row],[ASC certified harvested production volume (tonnes)]])-(Table126[[#This Row],[ASC certified stocked volume (tonnes)]]))</f>
        <v/>
      </c>
      <c r="O40" s="29"/>
    </row>
    <row r="41" spans="3:15" x14ac:dyDescent="0.4">
      <c r="C41" s="28"/>
      <c r="D41" s="33" t="str">
        <f>IF(Table126[[#This Row],[Site name]]="","",IF(Table126[[#This Row],[Site name]]=$C$5,$D$5,""))</f>
        <v/>
      </c>
      <c r="E41" s="28"/>
      <c r="F41" s="29"/>
      <c r="G41" s="153"/>
      <c r="H41" s="153"/>
      <c r="I41" s="30"/>
      <c r="J41" s="30"/>
      <c r="K41" s="31"/>
      <c r="L41" s="31"/>
      <c r="M41" s="30"/>
      <c r="N41" s="27" t="str">
        <f>IF(Table126[[#This Row],[Site name]]= "", "",(Table126[[#This Row],[ASC certified harvested production volume (tonnes)]])-(Table126[[#This Row],[ASC certified stocked volume (tonnes)]]))</f>
        <v/>
      </c>
      <c r="O41" s="29"/>
    </row>
    <row r="42" spans="3:15" x14ac:dyDescent="0.4">
      <c r="C42" s="28"/>
      <c r="D42" s="33" t="str">
        <f>IF(Table126[[#This Row],[Site name]]="","",IF(Table126[[#This Row],[Site name]]=$C$5,$D$5,""))</f>
        <v/>
      </c>
      <c r="E42" s="28"/>
      <c r="F42" s="29"/>
      <c r="G42" s="153"/>
      <c r="H42" s="153"/>
      <c r="I42" s="30"/>
      <c r="J42" s="30"/>
      <c r="K42" s="31"/>
      <c r="L42" s="31"/>
      <c r="M42" s="30"/>
      <c r="N42" s="27" t="str">
        <f>IF(Table126[[#This Row],[Site name]]= "", "",(Table126[[#This Row],[ASC certified harvested production volume (tonnes)]])-(Table126[[#This Row],[ASC certified stocked volume (tonnes)]]))</f>
        <v/>
      </c>
      <c r="O42" s="29"/>
    </row>
    <row r="43" spans="3:15" x14ac:dyDescent="0.4">
      <c r="C43" s="28"/>
      <c r="D43" s="33" t="str">
        <f>IF(Table126[[#This Row],[Site name]]="","",IF(Table126[[#This Row],[Site name]]=$C$5,$D$5,""))</f>
        <v/>
      </c>
      <c r="E43" s="28"/>
      <c r="F43" s="29"/>
      <c r="G43" s="153"/>
      <c r="H43" s="153"/>
      <c r="I43" s="30"/>
      <c r="J43" s="30"/>
      <c r="K43" s="31"/>
      <c r="L43" s="31"/>
      <c r="M43" s="30"/>
      <c r="N43" s="27" t="str">
        <f>IF(Table126[[#This Row],[Site name]]= "", "",(Table126[[#This Row],[ASC certified harvested production volume (tonnes)]])-(Table126[[#This Row],[ASC certified stocked volume (tonnes)]]))</f>
        <v/>
      </c>
      <c r="O43" s="29"/>
    </row>
    <row r="44" spans="3:15" x14ac:dyDescent="0.4">
      <c r="C44" s="28"/>
      <c r="D44" s="33" t="str">
        <f>IF(Table126[[#This Row],[Site name]]="","",IF(Table126[[#This Row],[Site name]]=$C$5,$D$5,""))</f>
        <v/>
      </c>
      <c r="E44" s="28"/>
      <c r="F44" s="29"/>
      <c r="G44" s="153"/>
      <c r="H44" s="153"/>
      <c r="I44" s="30"/>
      <c r="J44" s="30"/>
      <c r="K44" s="31"/>
      <c r="L44" s="31"/>
      <c r="M44" s="30"/>
      <c r="N44" s="27" t="str">
        <f>IF(Table126[[#This Row],[Site name]]= "", "",(Table126[[#This Row],[ASC certified harvested production volume (tonnes)]])-(Table126[[#This Row],[ASC certified stocked volume (tonnes)]]))</f>
        <v/>
      </c>
      <c r="O44" s="29"/>
    </row>
    <row r="45" spans="3:15" x14ac:dyDescent="0.4">
      <c r="C45" s="28"/>
      <c r="D45" s="33" t="str">
        <f>IF(Table126[[#This Row],[Site name]]="","",IF(Table126[[#This Row],[Site name]]=$C$5,$D$5,""))</f>
        <v/>
      </c>
      <c r="E45" s="28"/>
      <c r="F45" s="29"/>
      <c r="G45" s="153"/>
      <c r="H45" s="153"/>
      <c r="I45" s="30"/>
      <c r="J45" s="30"/>
      <c r="K45" s="31"/>
      <c r="L45" s="31"/>
      <c r="M45" s="30"/>
      <c r="N45" s="27" t="str">
        <f>IF(Table126[[#This Row],[Site name]]= "", "",(Table126[[#This Row],[ASC certified harvested production volume (tonnes)]])-(Table126[[#This Row],[ASC certified stocked volume (tonnes)]]))</f>
        <v/>
      </c>
      <c r="O45" s="29"/>
    </row>
    <row r="46" spans="3:15" x14ac:dyDescent="0.4">
      <c r="C46" s="28"/>
      <c r="D46" s="33" t="str">
        <f>IF(Table126[[#This Row],[Site name]]="","",IF(Table126[[#This Row],[Site name]]=$C$5,$D$5,""))</f>
        <v/>
      </c>
      <c r="E46" s="28"/>
      <c r="F46" s="29"/>
      <c r="G46" s="153"/>
      <c r="H46" s="153"/>
      <c r="I46" s="30"/>
      <c r="J46" s="30"/>
      <c r="K46" s="31"/>
      <c r="L46" s="31"/>
      <c r="M46" s="30"/>
      <c r="N46" s="27" t="str">
        <f>IF(Table126[[#This Row],[Site name]]= "", "",(Table126[[#This Row],[ASC certified harvested production volume (tonnes)]])-(Table126[[#This Row],[ASC certified stocked volume (tonnes)]]))</f>
        <v/>
      </c>
      <c r="O46" s="29"/>
    </row>
    <row r="47" spans="3:15" x14ac:dyDescent="0.4">
      <c r="C47" s="28"/>
      <c r="D47" s="33" t="str">
        <f>IF(Table126[[#This Row],[Site name]]="","",IF(Table126[[#This Row],[Site name]]=$C$5,$D$5,""))</f>
        <v/>
      </c>
      <c r="E47" s="28"/>
      <c r="F47" s="29"/>
      <c r="G47" s="153"/>
      <c r="H47" s="153"/>
      <c r="I47" s="30"/>
      <c r="J47" s="30"/>
      <c r="K47" s="31"/>
      <c r="L47" s="31"/>
      <c r="M47" s="30"/>
      <c r="N47" s="27" t="str">
        <f>IF(Table126[[#This Row],[Site name]]= "", "",(Table126[[#This Row],[ASC certified harvested production volume (tonnes)]])-(Table126[[#This Row],[ASC certified stocked volume (tonnes)]]))</f>
        <v/>
      </c>
      <c r="O47" s="29"/>
    </row>
    <row r="48" spans="3:15" x14ac:dyDescent="0.4">
      <c r="C48" s="28"/>
      <c r="D48" s="33" t="str">
        <f>IF(Table126[[#This Row],[Site name]]="","",IF(Table126[[#This Row],[Site name]]=$C$5,$D$5,""))</f>
        <v/>
      </c>
      <c r="E48" s="28"/>
      <c r="F48" s="29"/>
      <c r="G48" s="153"/>
      <c r="H48" s="153"/>
      <c r="I48" s="30"/>
      <c r="J48" s="30"/>
      <c r="K48" s="31"/>
      <c r="L48" s="31"/>
      <c r="M48" s="30"/>
      <c r="N48" s="27" t="str">
        <f>IF(Table126[[#This Row],[Site name]]= "", "",(Table126[[#This Row],[ASC certified harvested production volume (tonnes)]])-(Table126[[#This Row],[ASC certified stocked volume (tonnes)]]))</f>
        <v/>
      </c>
      <c r="O48" s="29"/>
    </row>
    <row r="49" spans="3:17" x14ac:dyDescent="0.4">
      <c r="C49" s="28"/>
      <c r="D49" s="33" t="str">
        <f>IF(Table126[[#This Row],[Site name]]="","",IF(Table126[[#This Row],[Site name]]=$C$5,$D$5,""))</f>
        <v/>
      </c>
      <c r="E49" s="28"/>
      <c r="F49" s="29"/>
      <c r="G49" s="153"/>
      <c r="H49" s="153"/>
      <c r="I49" s="30"/>
      <c r="J49" s="30"/>
      <c r="K49" s="31"/>
      <c r="L49" s="31"/>
      <c r="M49" s="30"/>
      <c r="N49" s="27" t="str">
        <f>IF(Table126[[#This Row],[Site name]]= "", "",(Table126[[#This Row],[ASC certified harvested production volume (tonnes)]])-(Table126[[#This Row],[ASC certified stocked volume (tonnes)]]))</f>
        <v/>
      </c>
      <c r="O49" s="29"/>
    </row>
    <row r="50" spans="3:17" x14ac:dyDescent="0.4">
      <c r="C50" s="28"/>
      <c r="D50" s="33" t="str">
        <f>IF(Table126[[#This Row],[Site name]]="","",IF(Table126[[#This Row],[Site name]]=$C$5,$D$5,""))</f>
        <v/>
      </c>
      <c r="E50" s="28"/>
      <c r="F50" s="29"/>
      <c r="G50" s="153"/>
      <c r="H50" s="153"/>
      <c r="I50" s="30"/>
      <c r="J50" s="30"/>
      <c r="K50" s="31"/>
      <c r="L50" s="31"/>
      <c r="M50" s="30"/>
      <c r="N50" s="27" t="str">
        <f>IF(Table126[[#This Row],[Site name]]= "", "",(Table126[[#This Row],[ASC certified harvested production volume (tonnes)]])-(Table126[[#This Row],[ASC certified stocked volume (tonnes)]]))</f>
        <v/>
      </c>
      <c r="O50" s="29"/>
    </row>
    <row r="51" spans="3:17" x14ac:dyDescent="0.4">
      <c r="C51" s="28"/>
      <c r="D51" s="33" t="str">
        <f>IF(Table126[[#This Row],[Site name]]="","",IF(Table126[[#This Row],[Site name]]=$C$5,$D$5,""))</f>
        <v/>
      </c>
      <c r="E51" s="28"/>
      <c r="F51" s="29"/>
      <c r="G51" s="153"/>
      <c r="H51" s="153"/>
      <c r="I51" s="30"/>
      <c r="J51" s="30"/>
      <c r="K51" s="31"/>
      <c r="L51" s="31"/>
      <c r="M51" s="30"/>
      <c r="N51" s="27" t="str">
        <f>IF(Table126[[#This Row],[Site name]]= "", "",(Table126[[#This Row],[ASC certified harvested production volume (tonnes)]])-(Table126[[#This Row],[ASC certified stocked volume (tonnes)]]))</f>
        <v/>
      </c>
      <c r="O51" s="29"/>
      <c r="Q51" s="20"/>
    </row>
    <row r="52" spans="3:17" x14ac:dyDescent="0.4">
      <c r="C52" s="28"/>
      <c r="D52" s="33" t="str">
        <f>IF(Table126[[#This Row],[Site name]]="","",IF(Table126[[#This Row],[Site name]]=$C$5,$D$5,""))</f>
        <v/>
      </c>
      <c r="E52" s="28"/>
      <c r="F52" s="29"/>
      <c r="G52" s="153"/>
      <c r="H52" s="153"/>
      <c r="I52" s="30"/>
      <c r="J52" s="30"/>
      <c r="K52" s="31"/>
      <c r="L52" s="31"/>
      <c r="M52" s="30"/>
      <c r="N52" s="27" t="str">
        <f>IF(Table126[[#This Row],[Site name]]= "", "",(Table126[[#This Row],[ASC certified harvested production volume (tonnes)]])-(Table126[[#This Row],[ASC certified stocked volume (tonnes)]]))</f>
        <v/>
      </c>
      <c r="O52" s="29"/>
    </row>
    <row r="53" spans="3:17" x14ac:dyDescent="0.4">
      <c r="C53" s="28"/>
      <c r="D53" s="33" t="str">
        <f>IF(Table126[[#This Row],[Site name]]="","",IF(Table126[[#This Row],[Site name]]=$C$5,$D$5,""))</f>
        <v/>
      </c>
      <c r="E53" s="28"/>
      <c r="F53" s="29"/>
      <c r="G53" s="153"/>
      <c r="H53" s="153"/>
      <c r="I53" s="30"/>
      <c r="J53" s="30"/>
      <c r="K53" s="31"/>
      <c r="L53" s="31"/>
      <c r="M53" s="30"/>
      <c r="N53" s="27" t="str">
        <f>IF(Table126[[#This Row],[Site name]]= "", "",(Table126[[#This Row],[ASC certified harvested production volume (tonnes)]])-(Table126[[#This Row],[ASC certified stocked volume (tonnes)]]))</f>
        <v/>
      </c>
      <c r="O53" s="29"/>
    </row>
    <row r="54" spans="3:17" x14ac:dyDescent="0.4">
      <c r="C54" s="28"/>
      <c r="D54" s="33" t="str">
        <f>IF(Table126[[#This Row],[Site name]]="","",IF(Table126[[#This Row],[Site name]]=$C$5,$D$5,""))</f>
        <v/>
      </c>
      <c r="E54" s="28"/>
      <c r="F54" s="29"/>
      <c r="G54" s="153"/>
      <c r="H54" s="153"/>
      <c r="I54" s="30"/>
      <c r="J54" s="30"/>
      <c r="K54" s="31"/>
      <c r="L54" s="31"/>
      <c r="M54" s="30"/>
      <c r="N54" s="27" t="str">
        <f>IF(Table126[[#This Row],[Site name]]= "", "",(Table126[[#This Row],[ASC certified harvested production volume (tonnes)]])-(Table126[[#This Row],[ASC certified stocked volume (tonnes)]]))</f>
        <v/>
      </c>
      <c r="O54" s="29"/>
    </row>
    <row r="55" spans="3:17" x14ac:dyDescent="0.4">
      <c r="C55" s="28"/>
      <c r="D55" s="33" t="str">
        <f>IF(Table126[[#This Row],[Site name]]="","",IF(Table126[[#This Row],[Site name]]=$C$5,$D$5,""))</f>
        <v/>
      </c>
      <c r="E55" s="28"/>
      <c r="F55" s="29"/>
      <c r="G55" s="153"/>
      <c r="H55" s="153"/>
      <c r="I55" s="30"/>
      <c r="J55" s="30"/>
      <c r="K55" s="31"/>
      <c r="L55" s="31"/>
      <c r="M55" s="30"/>
      <c r="N55" s="27" t="str">
        <f>IF(Table126[[#This Row],[Site name]]= "", "",(Table126[[#This Row],[ASC certified harvested production volume (tonnes)]])-(Table126[[#This Row],[ASC certified stocked volume (tonnes)]]))</f>
        <v/>
      </c>
      <c r="O55" s="29"/>
    </row>
    <row r="56" spans="3:17" x14ac:dyDescent="0.4">
      <c r="C56" s="28"/>
      <c r="D56" s="33" t="str">
        <f>IF(Table126[[#This Row],[Site name]]="","",IF(Table126[[#This Row],[Site name]]=$C$5,$D$5,""))</f>
        <v/>
      </c>
      <c r="E56" s="28"/>
      <c r="F56" s="29"/>
      <c r="G56" s="153"/>
      <c r="H56" s="153"/>
      <c r="I56" s="30"/>
      <c r="J56" s="30"/>
      <c r="K56" s="31"/>
      <c r="L56" s="31"/>
      <c r="M56" s="30"/>
      <c r="N56" s="27" t="str">
        <f>IF(Table126[[#This Row],[Site name]]= "", "",(Table126[[#This Row],[ASC certified harvested production volume (tonnes)]])-(Table126[[#This Row],[ASC certified stocked volume (tonnes)]]))</f>
        <v/>
      </c>
      <c r="O56" s="29"/>
    </row>
    <row r="57" spans="3:17" x14ac:dyDescent="0.4">
      <c r="C57" s="28"/>
      <c r="D57" s="33" t="str">
        <f>IF(Table126[[#This Row],[Site name]]="","",IF(Table126[[#This Row],[Site name]]=$C$5,$D$5,""))</f>
        <v/>
      </c>
      <c r="E57" s="28"/>
      <c r="F57" s="29"/>
      <c r="G57" s="153"/>
      <c r="H57" s="153"/>
      <c r="I57" s="30"/>
      <c r="J57" s="30"/>
      <c r="K57" s="31"/>
      <c r="L57" s="31"/>
      <c r="M57" s="30"/>
      <c r="N57" s="27" t="str">
        <f>IF(Table126[[#This Row],[Site name]]= "", "",(Table126[[#This Row],[ASC certified harvested production volume (tonnes)]])-(Table126[[#This Row],[ASC certified stocked volume (tonnes)]]))</f>
        <v/>
      </c>
      <c r="O57" s="29"/>
    </row>
    <row r="58" spans="3:17" x14ac:dyDescent="0.4">
      <c r="C58" s="28"/>
      <c r="D58" s="33" t="str">
        <f>IF(Table126[[#This Row],[Site name]]="","",IF(Table126[[#This Row],[Site name]]=$C$5,$D$5,""))</f>
        <v/>
      </c>
      <c r="E58" s="28"/>
      <c r="F58" s="29"/>
      <c r="G58" s="153"/>
      <c r="H58" s="153"/>
      <c r="I58" s="30"/>
      <c r="J58" s="30"/>
      <c r="K58" s="31"/>
      <c r="L58" s="31"/>
      <c r="M58" s="30"/>
      <c r="N58" s="27" t="str">
        <f>IF(Table126[[#This Row],[Site name]]= "", "",(Table126[[#This Row],[ASC certified harvested production volume (tonnes)]])-(Table126[[#This Row],[ASC certified stocked volume (tonnes)]]))</f>
        <v/>
      </c>
      <c r="O58" s="29"/>
    </row>
    <row r="59" spans="3:17" x14ac:dyDescent="0.4">
      <c r="C59" s="28"/>
      <c r="D59" s="33" t="str">
        <f>IF(Table126[[#This Row],[Site name]]="","",IF(Table126[[#This Row],[Site name]]=$C$5,$D$5,""))</f>
        <v/>
      </c>
      <c r="E59" s="28"/>
      <c r="F59" s="29"/>
      <c r="G59" s="153"/>
      <c r="H59" s="153"/>
      <c r="I59" s="30"/>
      <c r="J59" s="30"/>
      <c r="K59" s="31"/>
      <c r="L59" s="31"/>
      <c r="M59" s="30"/>
      <c r="N59" s="27" t="str">
        <f>IF(Table126[[#This Row],[Site name]]= "", "",(Table126[[#This Row],[ASC certified harvested production volume (tonnes)]])-(Table126[[#This Row],[ASC certified stocked volume (tonnes)]]))</f>
        <v/>
      </c>
      <c r="O59" s="29"/>
    </row>
    <row r="60" spans="3:17" x14ac:dyDescent="0.4">
      <c r="C60" s="28"/>
      <c r="D60" s="33" t="str">
        <f>IF(Table126[[#This Row],[Site name]]="","",IF(Table126[[#This Row],[Site name]]=$C$5,$D$5,""))</f>
        <v/>
      </c>
      <c r="E60" s="28"/>
      <c r="F60" s="29"/>
      <c r="G60" s="153"/>
      <c r="H60" s="153"/>
      <c r="I60" s="30"/>
      <c r="J60" s="30"/>
      <c r="K60" s="31"/>
      <c r="L60" s="31"/>
      <c r="M60" s="30"/>
      <c r="N60" s="27" t="str">
        <f>IF(Table126[[#This Row],[Site name]]= "", "",(Table126[[#This Row],[ASC certified harvested production volume (tonnes)]])-(Table126[[#This Row],[ASC certified stocked volume (tonnes)]]))</f>
        <v/>
      </c>
      <c r="O60" s="29"/>
    </row>
    <row r="61" spans="3:17" x14ac:dyDescent="0.4">
      <c r="C61" s="28"/>
      <c r="D61" s="33" t="str">
        <f>IF(Table126[[#This Row],[Site name]]="","",IF(Table126[[#This Row],[Site name]]=$C$5,$D$5,""))</f>
        <v/>
      </c>
      <c r="E61" s="28"/>
      <c r="F61" s="29"/>
      <c r="G61" s="153"/>
      <c r="H61" s="153"/>
      <c r="I61" s="30"/>
      <c r="J61" s="30"/>
      <c r="K61" s="31"/>
      <c r="L61" s="31"/>
      <c r="M61" s="30"/>
      <c r="N61" s="27" t="str">
        <f>IF(Table126[[#This Row],[Site name]]= "", "",(Table126[[#This Row],[ASC certified harvested production volume (tonnes)]])-(Table126[[#This Row],[ASC certified stocked volume (tonnes)]]))</f>
        <v/>
      </c>
      <c r="O61" s="29"/>
    </row>
    <row r="62" spans="3:17" x14ac:dyDescent="0.4">
      <c r="C62" s="28"/>
      <c r="D62" s="33" t="str">
        <f>IF(Table126[[#This Row],[Site name]]="","",IF(Table126[[#This Row],[Site name]]=$C$5,$D$5,""))</f>
        <v/>
      </c>
      <c r="E62" s="28"/>
      <c r="F62" s="29"/>
      <c r="G62" s="153"/>
      <c r="H62" s="153"/>
      <c r="I62" s="30"/>
      <c r="J62" s="30"/>
      <c r="K62" s="31"/>
      <c r="L62" s="31"/>
      <c r="M62" s="30"/>
      <c r="N62" s="27" t="str">
        <f>IF(Table126[[#This Row],[Site name]]= "", "",(Table126[[#This Row],[ASC certified harvested production volume (tonnes)]])-(Table126[[#This Row],[ASC certified stocked volume (tonnes)]]))</f>
        <v/>
      </c>
      <c r="O62" s="29"/>
    </row>
    <row r="63" spans="3:17" x14ac:dyDescent="0.4">
      <c r="C63" s="28"/>
      <c r="D63" s="33" t="str">
        <f>IF(Table126[[#This Row],[Site name]]="","",IF(Table126[[#This Row],[Site name]]=$C$5,$D$5,""))</f>
        <v/>
      </c>
      <c r="E63" s="28"/>
      <c r="F63" s="29"/>
      <c r="G63" s="153"/>
      <c r="H63" s="153"/>
      <c r="I63" s="30"/>
      <c r="J63" s="30"/>
      <c r="K63" s="31"/>
      <c r="L63" s="31"/>
      <c r="M63" s="30"/>
      <c r="N63" s="27" t="str">
        <f>IF(Table126[[#This Row],[Site name]]= "", "",(Table126[[#This Row],[ASC certified harvested production volume (tonnes)]])-(Table126[[#This Row],[ASC certified stocked volume (tonnes)]]))</f>
        <v/>
      </c>
      <c r="O63" s="29"/>
    </row>
    <row r="64" spans="3:17" x14ac:dyDescent="0.4">
      <c r="C64" s="28"/>
      <c r="D64" s="33" t="str">
        <f>IF(Table126[[#This Row],[Site name]]="","",IF(Table126[[#This Row],[Site name]]=$C$5,$D$5,""))</f>
        <v/>
      </c>
      <c r="E64" s="28"/>
      <c r="F64" s="29"/>
      <c r="G64" s="153"/>
      <c r="H64" s="153"/>
      <c r="I64" s="30"/>
      <c r="J64" s="30"/>
      <c r="K64" s="31"/>
      <c r="L64" s="31"/>
      <c r="M64" s="30"/>
      <c r="N64" s="27" t="str">
        <f>IF(Table126[[#This Row],[Site name]]= "", "",(Table126[[#This Row],[ASC certified harvested production volume (tonnes)]])-(Table126[[#This Row],[ASC certified stocked volume (tonnes)]]))</f>
        <v/>
      </c>
      <c r="O64" s="29"/>
    </row>
    <row r="65" spans="3:15" x14ac:dyDescent="0.4">
      <c r="C65" s="28"/>
      <c r="D65" s="33" t="str">
        <f>IF(Table126[[#This Row],[Site name]]="","",IF(Table126[[#This Row],[Site name]]=$C$5,$D$5,""))</f>
        <v/>
      </c>
      <c r="E65" s="28"/>
      <c r="F65" s="29"/>
      <c r="G65" s="153"/>
      <c r="H65" s="153"/>
      <c r="I65" s="30"/>
      <c r="J65" s="30"/>
      <c r="K65" s="31"/>
      <c r="L65" s="31"/>
      <c r="M65" s="30"/>
      <c r="N65" s="27" t="str">
        <f>IF(Table126[[#This Row],[Site name]]= "", "",(Table126[[#This Row],[ASC certified harvested production volume (tonnes)]])-(Table126[[#This Row],[ASC certified stocked volume (tonnes)]]))</f>
        <v/>
      </c>
      <c r="O65" s="29"/>
    </row>
    <row r="66" spans="3:15" x14ac:dyDescent="0.4">
      <c r="C66" s="28"/>
      <c r="D66" s="33" t="str">
        <f>IF(Table126[[#This Row],[Site name]]="","",IF(Table126[[#This Row],[Site name]]=$C$5,$D$5,""))</f>
        <v/>
      </c>
      <c r="E66" s="28"/>
      <c r="F66" s="29"/>
      <c r="G66" s="153"/>
      <c r="H66" s="153"/>
      <c r="I66" s="30"/>
      <c r="J66" s="30"/>
      <c r="K66" s="31"/>
      <c r="L66" s="31"/>
      <c r="M66" s="30"/>
      <c r="N66" s="27" t="str">
        <f>IF(Table126[[#This Row],[Site name]]= "", "",(Table126[[#This Row],[ASC certified harvested production volume (tonnes)]])-(Table126[[#This Row],[ASC certified stocked volume (tonnes)]]))</f>
        <v/>
      </c>
      <c r="O66" s="29"/>
    </row>
    <row r="67" spans="3:15" x14ac:dyDescent="0.4">
      <c r="C67" s="28"/>
      <c r="D67" s="33" t="str">
        <f>IF(Table126[[#This Row],[Site name]]="","",IF(Table126[[#This Row],[Site name]]=$C$5,$D$5,""))</f>
        <v/>
      </c>
      <c r="E67" s="28"/>
      <c r="F67" s="29"/>
      <c r="G67" s="153"/>
      <c r="H67" s="153"/>
      <c r="I67" s="30"/>
      <c r="J67" s="30"/>
      <c r="K67" s="31"/>
      <c r="L67" s="31"/>
      <c r="M67" s="30"/>
      <c r="N67" s="27" t="str">
        <f>IF(Table126[[#This Row],[Site name]]= "", "",(Table126[[#This Row],[ASC certified harvested production volume (tonnes)]])-(Table126[[#This Row],[ASC certified stocked volume (tonnes)]]))</f>
        <v/>
      </c>
      <c r="O67" s="29"/>
    </row>
    <row r="68" spans="3:15" x14ac:dyDescent="0.4">
      <c r="C68" s="28"/>
      <c r="D68" s="33" t="str">
        <f>IF(Table126[[#This Row],[Site name]]="","",IF(Table126[[#This Row],[Site name]]=$C$5,$D$5,""))</f>
        <v/>
      </c>
      <c r="E68" s="28"/>
      <c r="F68" s="29"/>
      <c r="G68" s="153"/>
      <c r="H68" s="153"/>
      <c r="I68" s="30"/>
      <c r="J68" s="30"/>
      <c r="K68" s="31"/>
      <c r="L68" s="31"/>
      <c r="M68" s="30"/>
      <c r="N68" s="27" t="str">
        <f>IF(Table126[[#This Row],[Site name]]= "", "",(Table126[[#This Row],[ASC certified harvested production volume (tonnes)]])-(Table126[[#This Row],[ASC certified stocked volume (tonnes)]]))</f>
        <v/>
      </c>
      <c r="O68" s="29"/>
    </row>
    <row r="69" spans="3:15" x14ac:dyDescent="0.4">
      <c r="C69" s="28"/>
      <c r="D69" s="33" t="str">
        <f>IF(Table126[[#This Row],[Site name]]="","",IF(Table126[[#This Row],[Site name]]=$C$5,$D$5,""))</f>
        <v/>
      </c>
      <c r="E69" s="28"/>
      <c r="F69" s="29"/>
      <c r="G69" s="153"/>
      <c r="H69" s="153"/>
      <c r="I69" s="30"/>
      <c r="J69" s="30"/>
      <c r="K69" s="31"/>
      <c r="L69" s="31"/>
      <c r="M69" s="30"/>
      <c r="N69" s="27" t="str">
        <f>IF(Table126[[#This Row],[Site name]]= "", "",(Table126[[#This Row],[ASC certified harvested production volume (tonnes)]])-(Table126[[#This Row],[ASC certified stocked volume (tonnes)]]))</f>
        <v/>
      </c>
      <c r="O69" s="29"/>
    </row>
    <row r="70" spans="3:15" x14ac:dyDescent="0.4">
      <c r="C70" s="28"/>
      <c r="D70" s="33" t="str">
        <f>IF(Table126[[#This Row],[Site name]]="","",IF(Table126[[#This Row],[Site name]]=$C$5,$D$5,""))</f>
        <v/>
      </c>
      <c r="E70" s="28"/>
      <c r="F70" s="29"/>
      <c r="G70" s="153"/>
      <c r="H70" s="153"/>
      <c r="I70" s="30"/>
      <c r="J70" s="30"/>
      <c r="K70" s="31"/>
      <c r="L70" s="31"/>
      <c r="M70" s="30"/>
      <c r="N70" s="27" t="str">
        <f>IF(Table126[[#This Row],[Site name]]= "", "",(Table126[[#This Row],[ASC certified harvested production volume (tonnes)]])-(Table126[[#This Row],[ASC certified stocked volume (tonnes)]]))</f>
        <v/>
      </c>
      <c r="O70" s="29"/>
    </row>
    <row r="71" spans="3:15" x14ac:dyDescent="0.4">
      <c r="C71" s="28"/>
      <c r="D71" s="33" t="str">
        <f>IF(Table126[[#This Row],[Site name]]="","",IF(Table126[[#This Row],[Site name]]=$C$5,$D$5,""))</f>
        <v/>
      </c>
      <c r="E71" s="28"/>
      <c r="F71" s="29"/>
      <c r="G71" s="153"/>
      <c r="H71" s="153"/>
      <c r="I71" s="30"/>
      <c r="J71" s="30"/>
      <c r="K71" s="31"/>
      <c r="L71" s="31"/>
      <c r="M71" s="30"/>
      <c r="N71" s="27" t="str">
        <f>IF(Table126[[#This Row],[Site name]]= "", "",(Table126[[#This Row],[ASC certified harvested production volume (tonnes)]])-(Table126[[#This Row],[ASC certified stocked volume (tonnes)]]))</f>
        <v/>
      </c>
      <c r="O71" s="29"/>
    </row>
    <row r="72" spans="3:15" x14ac:dyDescent="0.4">
      <c r="C72" s="28"/>
      <c r="D72" s="33" t="str">
        <f>IF(Table126[[#This Row],[Site name]]="","",IF(Table126[[#This Row],[Site name]]=$C$5,$D$5,""))</f>
        <v/>
      </c>
      <c r="E72" s="28"/>
      <c r="F72" s="29"/>
      <c r="G72" s="153"/>
      <c r="H72" s="153"/>
      <c r="I72" s="30"/>
      <c r="J72" s="30"/>
      <c r="K72" s="31"/>
      <c r="L72" s="31"/>
      <c r="M72" s="30"/>
      <c r="N72" s="27" t="str">
        <f>IF(Table126[[#This Row],[Site name]]= "", "",(Table126[[#This Row],[ASC certified harvested production volume (tonnes)]])-(Table126[[#This Row],[ASC certified stocked volume (tonnes)]]))</f>
        <v/>
      </c>
      <c r="O72" s="29"/>
    </row>
    <row r="73" spans="3:15" x14ac:dyDescent="0.4">
      <c r="C73" s="28"/>
      <c r="D73" s="33" t="str">
        <f>IF(Table126[[#This Row],[Site name]]="","",IF(Table126[[#This Row],[Site name]]=$C$5,$D$5,""))</f>
        <v/>
      </c>
      <c r="E73" s="28"/>
      <c r="F73" s="29"/>
      <c r="G73" s="153"/>
      <c r="H73" s="153"/>
      <c r="I73" s="30"/>
      <c r="J73" s="30"/>
      <c r="K73" s="31"/>
      <c r="L73" s="31"/>
      <c r="M73" s="30"/>
      <c r="N73" s="27" t="str">
        <f>IF(Table126[[#This Row],[Site name]]= "", "",(Table126[[#This Row],[ASC certified harvested production volume (tonnes)]])-(Table126[[#This Row],[ASC certified stocked volume (tonnes)]]))</f>
        <v/>
      </c>
      <c r="O73" s="29"/>
    </row>
    <row r="74" spans="3:15" x14ac:dyDescent="0.4">
      <c r="C74" s="28"/>
      <c r="D74" s="33" t="str">
        <f>IF(Table126[[#This Row],[Site name]]="","",IF(Table126[[#This Row],[Site name]]=$C$5,$D$5,""))</f>
        <v/>
      </c>
      <c r="E74" s="28"/>
      <c r="F74" s="29"/>
      <c r="G74" s="153"/>
      <c r="H74" s="153"/>
      <c r="I74" s="30"/>
      <c r="J74" s="30"/>
      <c r="K74" s="31"/>
      <c r="L74" s="31"/>
      <c r="M74" s="30"/>
      <c r="N74" s="27" t="str">
        <f>IF(Table126[[#This Row],[Site name]]= "", "",(Table126[[#This Row],[ASC certified harvested production volume (tonnes)]])-(Table126[[#This Row],[ASC certified stocked volume (tonnes)]]))</f>
        <v/>
      </c>
      <c r="O74" s="29"/>
    </row>
    <row r="75" spans="3:15" x14ac:dyDescent="0.4">
      <c r="C75" s="28"/>
      <c r="D75" s="33" t="str">
        <f>IF(Table126[[#This Row],[Site name]]="","",IF(Table126[[#This Row],[Site name]]=$C$5,$D$5,""))</f>
        <v/>
      </c>
      <c r="E75" s="28"/>
      <c r="F75" s="29"/>
      <c r="G75" s="153"/>
      <c r="H75" s="153"/>
      <c r="I75" s="30"/>
      <c r="J75" s="30"/>
      <c r="K75" s="31"/>
      <c r="L75" s="31"/>
      <c r="M75" s="30"/>
      <c r="N75" s="27" t="str">
        <f>IF(Table126[[#This Row],[Site name]]= "", "",(Table126[[#This Row],[ASC certified harvested production volume (tonnes)]])-(Table126[[#This Row],[ASC certified stocked volume (tonnes)]]))</f>
        <v/>
      </c>
      <c r="O75" s="29"/>
    </row>
    <row r="76" spans="3:15" x14ac:dyDescent="0.4">
      <c r="C76" s="28"/>
      <c r="D76" s="33" t="str">
        <f>IF(Table126[[#This Row],[Site name]]="","",IF(Table126[[#This Row],[Site name]]=$C$5,$D$5,""))</f>
        <v/>
      </c>
      <c r="E76" s="28"/>
      <c r="F76" s="29"/>
      <c r="G76" s="153"/>
      <c r="H76" s="153"/>
      <c r="I76" s="30"/>
      <c r="J76" s="30"/>
      <c r="K76" s="31"/>
      <c r="L76" s="31"/>
      <c r="M76" s="30"/>
      <c r="N76" s="27" t="str">
        <f>IF(Table126[[#This Row],[Site name]]= "", "",(Table126[[#This Row],[ASC certified harvested production volume (tonnes)]])-(Table126[[#This Row],[ASC certified stocked volume (tonnes)]]))</f>
        <v/>
      </c>
      <c r="O76" s="29"/>
    </row>
    <row r="77" spans="3:15" x14ac:dyDescent="0.4">
      <c r="C77" s="28"/>
      <c r="D77" s="33" t="str">
        <f>IF(Table126[[#This Row],[Site name]]="","",IF(Table126[[#This Row],[Site name]]=$C$5,$D$5,""))</f>
        <v/>
      </c>
      <c r="E77" s="28"/>
      <c r="F77" s="29"/>
      <c r="G77" s="153"/>
      <c r="H77" s="153"/>
      <c r="I77" s="30"/>
      <c r="J77" s="30"/>
      <c r="K77" s="31"/>
      <c r="L77" s="31"/>
      <c r="M77" s="30"/>
      <c r="N77" s="27" t="str">
        <f>IF(Table126[[#This Row],[Site name]]= "", "",(Table126[[#This Row],[ASC certified harvested production volume (tonnes)]])-(Table126[[#This Row],[ASC certified stocked volume (tonnes)]]))</f>
        <v/>
      </c>
      <c r="O77" s="29"/>
    </row>
    <row r="78" spans="3:15" x14ac:dyDescent="0.4">
      <c r="C78" s="28"/>
      <c r="D78" s="33" t="str">
        <f>IF(Table126[[#This Row],[Site name]]="","",IF(Table126[[#This Row],[Site name]]=$C$5,$D$5,""))</f>
        <v/>
      </c>
      <c r="E78" s="28"/>
      <c r="F78" s="29"/>
      <c r="G78" s="153"/>
      <c r="H78" s="153"/>
      <c r="I78" s="30"/>
      <c r="J78" s="30"/>
      <c r="K78" s="31"/>
      <c r="L78" s="31"/>
      <c r="M78" s="30"/>
      <c r="N78" s="27" t="str">
        <f>IF(Table126[[#This Row],[Site name]]= "", "",(Table126[[#This Row],[ASC certified harvested production volume (tonnes)]])-(Table126[[#This Row],[ASC certified stocked volume (tonnes)]]))</f>
        <v/>
      </c>
      <c r="O78" s="29"/>
    </row>
    <row r="79" spans="3:15" x14ac:dyDescent="0.4">
      <c r="C79" s="28"/>
      <c r="D79" s="33" t="str">
        <f>IF(Table126[[#This Row],[Site name]]="","",IF(Table126[[#This Row],[Site name]]=$C$5,$D$5,""))</f>
        <v/>
      </c>
      <c r="E79" s="28"/>
      <c r="F79" s="29"/>
      <c r="G79" s="153"/>
      <c r="H79" s="153"/>
      <c r="I79" s="30"/>
      <c r="J79" s="30"/>
      <c r="K79" s="31"/>
      <c r="L79" s="31"/>
      <c r="M79" s="30"/>
      <c r="N79" s="27" t="str">
        <f>IF(Table126[[#This Row],[Site name]]= "", "",(Table126[[#This Row],[ASC certified harvested production volume (tonnes)]])-(Table126[[#This Row],[ASC certified stocked volume (tonnes)]]))</f>
        <v/>
      </c>
      <c r="O79" s="29"/>
    </row>
    <row r="80" spans="3:15" x14ac:dyDescent="0.4">
      <c r="C80" s="28"/>
      <c r="D80" s="33" t="str">
        <f>IF(Table126[[#This Row],[Site name]]="","",IF(Table126[[#This Row],[Site name]]=$C$5,$D$5,""))</f>
        <v/>
      </c>
      <c r="E80" s="28"/>
      <c r="F80" s="29"/>
      <c r="G80" s="153"/>
      <c r="H80" s="153"/>
      <c r="I80" s="30"/>
      <c r="J80" s="30"/>
      <c r="K80" s="31"/>
      <c r="L80" s="31"/>
      <c r="M80" s="30"/>
      <c r="N80" s="27" t="str">
        <f>IF(Table126[[#This Row],[Site name]]= "", "",(Table126[[#This Row],[ASC certified harvested production volume (tonnes)]])-(Table126[[#This Row],[ASC certified stocked volume (tonnes)]]))</f>
        <v/>
      </c>
      <c r="O80" s="29"/>
    </row>
    <row r="81" spans="3:15" x14ac:dyDescent="0.4">
      <c r="C81" s="28"/>
      <c r="D81" s="33" t="str">
        <f>IF(Table126[[#This Row],[Site name]]="","",IF(Table126[[#This Row],[Site name]]=$C$5,$D$5,""))</f>
        <v/>
      </c>
      <c r="E81" s="28"/>
      <c r="F81" s="29"/>
      <c r="G81" s="153"/>
      <c r="H81" s="153"/>
      <c r="I81" s="30"/>
      <c r="J81" s="30"/>
      <c r="K81" s="31"/>
      <c r="L81" s="31"/>
      <c r="M81" s="30"/>
      <c r="N81" s="27" t="str">
        <f>IF(Table126[[#This Row],[Site name]]= "", "",(Table126[[#This Row],[ASC certified harvested production volume (tonnes)]])-(Table126[[#This Row],[ASC certified stocked volume (tonnes)]]))</f>
        <v/>
      </c>
      <c r="O81" s="29"/>
    </row>
    <row r="82" spans="3:15" x14ac:dyDescent="0.4">
      <c r="C82" s="28"/>
      <c r="D82" s="33" t="str">
        <f>IF(Table126[[#This Row],[Site name]]="","",IF(Table126[[#This Row],[Site name]]=$C$5,$D$5,""))</f>
        <v/>
      </c>
      <c r="E82" s="28"/>
      <c r="F82" s="29"/>
      <c r="G82" s="153"/>
      <c r="H82" s="153"/>
      <c r="I82" s="30"/>
      <c r="J82" s="30"/>
      <c r="K82" s="31"/>
      <c r="L82" s="31"/>
      <c r="M82" s="30"/>
      <c r="N82" s="27" t="str">
        <f>IF(Table126[[#This Row],[Site name]]= "", "",(Table126[[#This Row],[ASC certified harvested production volume (tonnes)]])-(Table126[[#This Row],[ASC certified stocked volume (tonnes)]]))</f>
        <v/>
      </c>
      <c r="O82" s="29"/>
    </row>
    <row r="83" spans="3:15" x14ac:dyDescent="0.4">
      <c r="C83" s="28"/>
      <c r="D83" s="33" t="str">
        <f>IF(Table126[[#This Row],[Site name]]="","",IF(Table126[[#This Row],[Site name]]=$C$5,$D$5,""))</f>
        <v/>
      </c>
      <c r="E83" s="28"/>
      <c r="F83" s="29"/>
      <c r="G83" s="153"/>
      <c r="H83" s="153"/>
      <c r="I83" s="30"/>
      <c r="J83" s="30"/>
      <c r="K83" s="31"/>
      <c r="L83" s="31"/>
      <c r="M83" s="30"/>
      <c r="N83" s="27" t="str">
        <f>IF(Table126[[#This Row],[Site name]]= "", "",(Table126[[#This Row],[ASC certified harvested production volume (tonnes)]])-(Table126[[#This Row],[ASC certified stocked volume (tonnes)]]))</f>
        <v/>
      </c>
      <c r="O83" s="29"/>
    </row>
    <row r="84" spans="3:15" x14ac:dyDescent="0.4">
      <c r="C84" s="28"/>
      <c r="D84" s="33" t="str">
        <f>IF(Table126[[#This Row],[Site name]]="","",IF(Table126[[#This Row],[Site name]]=$C$5,$D$5,""))</f>
        <v/>
      </c>
      <c r="E84" s="28"/>
      <c r="F84" s="29"/>
      <c r="G84" s="153"/>
      <c r="H84" s="153"/>
      <c r="I84" s="30"/>
      <c r="J84" s="30"/>
      <c r="K84" s="31"/>
      <c r="L84" s="31"/>
      <c r="M84" s="30"/>
      <c r="N84" s="27" t="str">
        <f>IF(Table126[[#This Row],[Site name]]= "", "",(Table126[[#This Row],[ASC certified harvested production volume (tonnes)]])-(Table126[[#This Row],[ASC certified stocked volume (tonnes)]]))</f>
        <v/>
      </c>
      <c r="O84" s="29"/>
    </row>
    <row r="85" spans="3:15" x14ac:dyDescent="0.4">
      <c r="C85" s="28"/>
      <c r="D85" s="33" t="str">
        <f>IF(Table126[[#This Row],[Site name]]="","",IF(Table126[[#This Row],[Site name]]=$C$5,$D$5,""))</f>
        <v/>
      </c>
      <c r="E85" s="28"/>
      <c r="F85" s="29"/>
      <c r="G85" s="153"/>
      <c r="H85" s="153"/>
      <c r="I85" s="30"/>
      <c r="J85" s="30"/>
      <c r="K85" s="31"/>
      <c r="L85" s="31"/>
      <c r="M85" s="30"/>
      <c r="N85" s="27" t="str">
        <f>IF(Table126[[#This Row],[Site name]]= "", "",(Table126[[#This Row],[ASC certified harvested production volume (tonnes)]])-(Table126[[#This Row],[ASC certified stocked volume (tonnes)]]))</f>
        <v/>
      </c>
      <c r="O85" s="29"/>
    </row>
    <row r="86" spans="3:15" x14ac:dyDescent="0.4">
      <c r="C86" s="28"/>
      <c r="D86" s="33" t="str">
        <f>IF(Table126[[#This Row],[Site name]]="","",IF(Table126[[#This Row],[Site name]]=$C$5,$D$5,""))</f>
        <v/>
      </c>
      <c r="E86" s="28"/>
      <c r="F86" s="29"/>
      <c r="G86" s="153"/>
      <c r="H86" s="153"/>
      <c r="I86" s="30"/>
      <c r="J86" s="30"/>
      <c r="K86" s="31"/>
      <c r="L86" s="31"/>
      <c r="M86" s="30"/>
      <c r="N86" s="27" t="str">
        <f>IF(Table126[[#This Row],[Site name]]= "", "",(Table126[[#This Row],[ASC certified harvested production volume (tonnes)]])-(Table126[[#This Row],[ASC certified stocked volume (tonnes)]]))</f>
        <v/>
      </c>
      <c r="O86" s="29"/>
    </row>
    <row r="87" spans="3:15" x14ac:dyDescent="0.4">
      <c r="C87" s="28"/>
      <c r="D87" s="33" t="str">
        <f>IF(Table126[[#This Row],[Site name]]="","",IF(Table126[[#This Row],[Site name]]=$C$5,$D$5,""))</f>
        <v/>
      </c>
      <c r="E87" s="28"/>
      <c r="F87" s="29"/>
      <c r="G87" s="153"/>
      <c r="H87" s="153"/>
      <c r="I87" s="30"/>
      <c r="J87" s="30"/>
      <c r="K87" s="31"/>
      <c r="L87" s="31"/>
      <c r="M87" s="30"/>
      <c r="N87" s="27" t="str">
        <f>IF(Table126[[#This Row],[Site name]]= "", "",(Table126[[#This Row],[ASC certified harvested production volume (tonnes)]])-(Table126[[#This Row],[ASC certified stocked volume (tonnes)]]))</f>
        <v/>
      </c>
      <c r="O87" s="29"/>
    </row>
    <row r="88" spans="3:15" x14ac:dyDescent="0.4">
      <c r="C88" s="28"/>
      <c r="D88" s="33" t="str">
        <f>IF(Table126[[#This Row],[Site name]]="","",IF(Table126[[#This Row],[Site name]]=$C$5,$D$5,""))</f>
        <v/>
      </c>
      <c r="E88" s="28"/>
      <c r="F88" s="29"/>
      <c r="G88" s="153"/>
      <c r="H88" s="153"/>
      <c r="I88" s="30"/>
      <c r="J88" s="30"/>
      <c r="K88" s="31"/>
      <c r="L88" s="31"/>
      <c r="M88" s="30"/>
      <c r="N88" s="27" t="str">
        <f>IF(Table126[[#This Row],[Site name]]= "", "",(Table126[[#This Row],[ASC certified harvested production volume (tonnes)]])-(Table126[[#This Row],[ASC certified stocked volume (tonnes)]]))</f>
        <v/>
      </c>
      <c r="O88" s="29"/>
    </row>
    <row r="89" spans="3:15" x14ac:dyDescent="0.4">
      <c r="C89" s="28"/>
      <c r="D89" s="33" t="str">
        <f>IF(Table126[[#This Row],[Site name]]="","",IF(Table126[[#This Row],[Site name]]=$C$5,$D$5,""))</f>
        <v/>
      </c>
      <c r="E89" s="28"/>
      <c r="F89" s="29"/>
      <c r="G89" s="153"/>
      <c r="H89" s="153"/>
      <c r="I89" s="30"/>
      <c r="J89" s="30"/>
      <c r="K89" s="31"/>
      <c r="L89" s="31"/>
      <c r="M89" s="30"/>
      <c r="N89" s="27" t="str">
        <f>IF(Table126[[#This Row],[Site name]]= "", "",(Table126[[#This Row],[ASC certified harvested production volume (tonnes)]])-(Table126[[#This Row],[ASC certified stocked volume (tonnes)]]))</f>
        <v/>
      </c>
      <c r="O89" s="29"/>
    </row>
    <row r="90" spans="3:15" x14ac:dyDescent="0.4">
      <c r="C90" s="28"/>
      <c r="D90" s="33" t="str">
        <f>IF(Table126[[#This Row],[Site name]]="","",IF(Table126[[#This Row],[Site name]]=$C$5,$D$5,""))</f>
        <v/>
      </c>
      <c r="E90" s="28"/>
      <c r="F90" s="29"/>
      <c r="G90" s="153"/>
      <c r="H90" s="153"/>
      <c r="I90" s="30"/>
      <c r="J90" s="30"/>
      <c r="K90" s="31"/>
      <c r="L90" s="31"/>
      <c r="M90" s="30"/>
      <c r="N90" s="27" t="str">
        <f>IF(Table126[[#This Row],[Site name]]= "", "",(Table126[[#This Row],[ASC certified harvested production volume (tonnes)]])-(Table126[[#This Row],[ASC certified stocked volume (tonnes)]]))</f>
        <v/>
      </c>
      <c r="O90" s="29"/>
    </row>
    <row r="91" spans="3:15" x14ac:dyDescent="0.4">
      <c r="C91" s="28"/>
      <c r="D91" s="33" t="str">
        <f>IF(Table126[[#This Row],[Site name]]="","",IF(Table126[[#This Row],[Site name]]=$C$5,$D$5,""))</f>
        <v/>
      </c>
      <c r="E91" s="28"/>
      <c r="F91" s="29"/>
      <c r="G91" s="153"/>
      <c r="H91" s="153"/>
      <c r="I91" s="30"/>
      <c r="J91" s="30"/>
      <c r="K91" s="31"/>
      <c r="L91" s="31"/>
      <c r="M91" s="30"/>
      <c r="N91" s="27" t="str">
        <f>IF(Table126[[#This Row],[Site name]]= "", "",(Table126[[#This Row],[ASC certified harvested production volume (tonnes)]])-(Table126[[#This Row],[ASC certified stocked volume (tonnes)]]))</f>
        <v/>
      </c>
      <c r="O91" s="29"/>
    </row>
    <row r="92" spans="3:15" x14ac:dyDescent="0.4">
      <c r="C92" s="28"/>
      <c r="D92" s="33" t="str">
        <f>IF(Table126[[#This Row],[Site name]]="","",IF(Table126[[#This Row],[Site name]]=$C$5,$D$5,""))</f>
        <v/>
      </c>
      <c r="E92" s="28"/>
      <c r="F92" s="29"/>
      <c r="G92" s="153"/>
      <c r="H92" s="153"/>
      <c r="I92" s="30"/>
      <c r="J92" s="30"/>
      <c r="K92" s="31"/>
      <c r="L92" s="31"/>
      <c r="M92" s="30"/>
      <c r="N92" s="27" t="str">
        <f>IF(Table126[[#This Row],[Site name]]= "", "",(Table126[[#This Row],[ASC certified harvested production volume (tonnes)]])-(Table126[[#This Row],[ASC certified stocked volume (tonnes)]]))</f>
        <v/>
      </c>
      <c r="O92" s="29"/>
    </row>
    <row r="93" spans="3:15" x14ac:dyDescent="0.4">
      <c r="C93" s="28"/>
      <c r="D93" s="33" t="str">
        <f>IF(Table126[[#This Row],[Site name]]="","",IF(Table126[[#This Row],[Site name]]=$C$5,$D$5,""))</f>
        <v/>
      </c>
      <c r="E93" s="28"/>
      <c r="F93" s="29"/>
      <c r="G93" s="153"/>
      <c r="H93" s="153"/>
      <c r="I93" s="30"/>
      <c r="J93" s="30"/>
      <c r="K93" s="31"/>
      <c r="L93" s="31"/>
      <c r="M93" s="30"/>
      <c r="N93" s="27" t="str">
        <f>IF(Table126[[#This Row],[Site name]]= "", "",(Table126[[#This Row],[ASC certified harvested production volume (tonnes)]])-(Table126[[#This Row],[ASC certified stocked volume (tonnes)]]))</f>
        <v/>
      </c>
      <c r="O93" s="29"/>
    </row>
    <row r="94" spans="3:15" x14ac:dyDescent="0.4">
      <c r="C94" s="28"/>
      <c r="D94" s="33" t="str">
        <f>IF(Table126[[#This Row],[Site name]]="","",IF(Table126[[#This Row],[Site name]]=$C$5,$D$5,""))</f>
        <v/>
      </c>
      <c r="E94" s="28"/>
      <c r="F94" s="29"/>
      <c r="G94" s="153"/>
      <c r="H94" s="153"/>
      <c r="I94" s="30"/>
      <c r="J94" s="30"/>
      <c r="K94" s="31"/>
      <c r="L94" s="31"/>
      <c r="M94" s="30"/>
      <c r="N94" s="27" t="str">
        <f>IF(Table126[[#This Row],[Site name]]= "", "",(Table126[[#This Row],[ASC certified harvested production volume (tonnes)]])-(Table126[[#This Row],[ASC certified stocked volume (tonnes)]]))</f>
        <v/>
      </c>
      <c r="O94" s="29"/>
    </row>
    <row r="95" spans="3:15" x14ac:dyDescent="0.4">
      <c r="C95" s="28"/>
      <c r="D95" s="33" t="str">
        <f>IF(Table126[[#This Row],[Site name]]="","",IF(Table126[[#This Row],[Site name]]=$C$5,$D$5,""))</f>
        <v/>
      </c>
      <c r="E95" s="28"/>
      <c r="F95" s="29"/>
      <c r="G95" s="153"/>
      <c r="H95" s="153"/>
      <c r="I95" s="30"/>
      <c r="J95" s="30"/>
      <c r="K95" s="31"/>
      <c r="L95" s="31"/>
      <c r="M95" s="30"/>
      <c r="N95" s="27" t="str">
        <f>IF(Table126[[#This Row],[Site name]]= "", "",(Table126[[#This Row],[ASC certified harvested production volume (tonnes)]])-(Table126[[#This Row],[ASC certified stocked volume (tonnes)]]))</f>
        <v/>
      </c>
      <c r="O95" s="29"/>
    </row>
    <row r="96" spans="3:15" x14ac:dyDescent="0.4">
      <c r="C96" s="28"/>
      <c r="D96" s="33" t="str">
        <f>IF(Table126[[#This Row],[Site name]]="","",IF(Table126[[#This Row],[Site name]]=$C$5,$D$5,""))</f>
        <v/>
      </c>
      <c r="E96" s="28"/>
      <c r="F96" s="29"/>
      <c r="G96" s="153"/>
      <c r="H96" s="153"/>
      <c r="I96" s="30"/>
      <c r="J96" s="30"/>
      <c r="K96" s="31"/>
      <c r="L96" s="31"/>
      <c r="M96" s="30"/>
      <c r="N96" s="27" t="str">
        <f>IF(Table126[[#This Row],[Site name]]= "", "",(Table126[[#This Row],[ASC certified harvested production volume (tonnes)]])-(Table126[[#This Row],[ASC certified stocked volume (tonnes)]]))</f>
        <v/>
      </c>
      <c r="O96" s="29"/>
    </row>
    <row r="97" spans="3:15" x14ac:dyDescent="0.4">
      <c r="C97" s="28"/>
      <c r="D97" s="33" t="str">
        <f>IF(Table126[[#This Row],[Site name]]="","",IF(Table126[[#This Row],[Site name]]=$C$5,$D$5,""))</f>
        <v/>
      </c>
      <c r="E97" s="28"/>
      <c r="F97" s="29"/>
      <c r="G97" s="153"/>
      <c r="H97" s="153"/>
      <c r="I97" s="30"/>
      <c r="J97" s="30"/>
      <c r="K97" s="31"/>
      <c r="L97" s="31"/>
      <c r="M97" s="30"/>
      <c r="N97" s="27" t="str">
        <f>IF(Table126[[#This Row],[Site name]]= "", "",(Table126[[#This Row],[ASC certified harvested production volume (tonnes)]])-(Table126[[#This Row],[ASC certified stocked volume (tonnes)]]))</f>
        <v/>
      </c>
      <c r="O97" s="29"/>
    </row>
    <row r="98" spans="3:15" x14ac:dyDescent="0.4">
      <c r="C98" s="28"/>
      <c r="D98" s="33" t="str">
        <f>IF(Table126[[#This Row],[Site name]]="","",IF(Table126[[#This Row],[Site name]]=$C$5,$D$5,""))</f>
        <v/>
      </c>
      <c r="E98" s="28"/>
      <c r="F98" s="29"/>
      <c r="G98" s="153"/>
      <c r="H98" s="153"/>
      <c r="I98" s="30"/>
      <c r="J98" s="30"/>
      <c r="K98" s="31"/>
      <c r="L98" s="31"/>
      <c r="M98" s="30"/>
      <c r="N98" s="27" t="str">
        <f>IF(Table126[[#This Row],[Site name]]= "", "",(Table126[[#This Row],[ASC certified harvested production volume (tonnes)]])-(Table126[[#This Row],[ASC certified stocked volume (tonnes)]]))</f>
        <v/>
      </c>
      <c r="O98" s="29"/>
    </row>
    <row r="99" spans="3:15" x14ac:dyDescent="0.4">
      <c r="C99" s="28"/>
      <c r="D99" s="33" t="str">
        <f>IF(Table126[[#This Row],[Site name]]="","",IF(Table126[[#This Row],[Site name]]=$C$5,$D$5,""))</f>
        <v/>
      </c>
      <c r="E99" s="28"/>
      <c r="F99" s="29"/>
      <c r="G99" s="153"/>
      <c r="H99" s="153"/>
      <c r="I99" s="30"/>
      <c r="J99" s="30"/>
      <c r="K99" s="31"/>
      <c r="L99" s="31"/>
      <c r="M99" s="30"/>
      <c r="N99" s="27" t="str">
        <f>IF(Table126[[#This Row],[Site name]]= "", "",(Table126[[#This Row],[ASC certified harvested production volume (tonnes)]])-(Table126[[#This Row],[ASC certified stocked volume (tonnes)]]))</f>
        <v/>
      </c>
      <c r="O99" s="29"/>
    </row>
    <row r="100" spans="3:15" x14ac:dyDescent="0.4">
      <c r="C100" s="28"/>
      <c r="D100" s="33" t="str">
        <f>IF(Table126[[#This Row],[Site name]]="","",IF(Table126[[#This Row],[Site name]]=$C$5,$D$5,""))</f>
        <v/>
      </c>
      <c r="E100" s="28"/>
      <c r="F100" s="29"/>
      <c r="G100" s="153"/>
      <c r="H100" s="153"/>
      <c r="I100" s="30"/>
      <c r="J100" s="30"/>
      <c r="K100" s="31"/>
      <c r="L100" s="31"/>
      <c r="M100" s="30"/>
      <c r="N100" s="27" t="str">
        <f>IF(Table126[[#This Row],[Site name]]= "", "",(Table126[[#This Row],[ASC certified harvested production volume (tonnes)]])-(Table126[[#This Row],[ASC certified stocked volume (tonnes)]]))</f>
        <v/>
      </c>
      <c r="O100" s="29"/>
    </row>
    <row r="101" spans="3:15" x14ac:dyDescent="0.4">
      <c r="C101" s="28"/>
      <c r="D101" s="33" t="str">
        <f>IF(Table126[[#This Row],[Site name]]="","",IF(Table126[[#This Row],[Site name]]=$C$5,$D$5,""))</f>
        <v/>
      </c>
      <c r="E101" s="28"/>
      <c r="F101" s="29"/>
      <c r="G101" s="153"/>
      <c r="H101" s="153"/>
      <c r="I101" s="30"/>
      <c r="J101" s="30"/>
      <c r="K101" s="31"/>
      <c r="L101" s="31"/>
      <c r="M101" s="30"/>
      <c r="N101" s="27" t="str">
        <f>IF(Table126[[#This Row],[Site name]]= "", "",(Table126[[#This Row],[ASC certified harvested production volume (tonnes)]])-(Table126[[#This Row],[ASC certified stocked volume (tonnes)]]))</f>
        <v/>
      </c>
      <c r="O101" s="29"/>
    </row>
    <row r="102" spans="3:15" x14ac:dyDescent="0.4">
      <c r="C102" s="28"/>
      <c r="D102" s="33" t="str">
        <f>IF(Table126[[#This Row],[Site name]]="","",IF(Table126[[#This Row],[Site name]]=$C$5,$D$5,""))</f>
        <v/>
      </c>
      <c r="E102" s="28"/>
      <c r="F102" s="29"/>
      <c r="G102" s="153"/>
      <c r="H102" s="153"/>
      <c r="I102" s="30"/>
      <c r="J102" s="30"/>
      <c r="K102" s="31"/>
      <c r="L102" s="31"/>
      <c r="M102" s="30"/>
      <c r="N102" s="27" t="str">
        <f>IF(Table126[[#This Row],[Site name]]= "", "",(Table126[[#This Row],[ASC certified harvested production volume (tonnes)]])-(Table126[[#This Row],[ASC certified stocked volume (tonnes)]]))</f>
        <v/>
      </c>
      <c r="O102" s="29"/>
    </row>
    <row r="103" spans="3:15" x14ac:dyDescent="0.4">
      <c r="C103" s="28"/>
      <c r="D103" s="33" t="str">
        <f>IF(Table126[[#This Row],[Site name]]="","",IF(Table126[[#This Row],[Site name]]=$C$5,$D$5,""))</f>
        <v/>
      </c>
      <c r="E103" s="28"/>
      <c r="F103" s="29"/>
      <c r="G103" s="153"/>
      <c r="H103" s="153"/>
      <c r="I103" s="30"/>
      <c r="J103" s="30"/>
      <c r="K103" s="31"/>
      <c r="L103" s="31"/>
      <c r="M103" s="30"/>
      <c r="N103" s="27" t="str">
        <f>IF(Table126[[#This Row],[Site name]]= "", "",(Table126[[#This Row],[ASC certified harvested production volume (tonnes)]])-(Table126[[#This Row],[ASC certified stocked volume (tonnes)]]))</f>
        <v/>
      </c>
      <c r="O103" s="29"/>
    </row>
    <row r="104" spans="3:15" x14ac:dyDescent="0.4">
      <c r="C104" s="28"/>
      <c r="D104" s="33" t="str">
        <f>IF(Table126[[#This Row],[Site name]]="","",IF(Table126[[#This Row],[Site name]]=$C$5,$D$5,""))</f>
        <v/>
      </c>
      <c r="E104" s="28"/>
      <c r="F104" s="29"/>
      <c r="G104" s="153"/>
      <c r="H104" s="153"/>
      <c r="I104" s="30"/>
      <c r="J104" s="30"/>
      <c r="K104" s="31"/>
      <c r="L104" s="31"/>
      <c r="M104" s="30"/>
      <c r="N104" s="27" t="str">
        <f>IF(Table126[[#This Row],[Site name]]= "", "",(Table126[[#This Row],[ASC certified harvested production volume (tonnes)]])-(Table126[[#This Row],[ASC certified stocked volume (tonnes)]]))</f>
        <v/>
      </c>
      <c r="O104" s="29"/>
    </row>
    <row r="105" spans="3:15" x14ac:dyDescent="0.4">
      <c r="C105" s="28"/>
      <c r="D105" s="33" t="str">
        <f>IF(Table126[[#This Row],[Site name]]="","",IF(Table126[[#This Row],[Site name]]=$C$5,$D$5,""))</f>
        <v/>
      </c>
      <c r="E105" s="28"/>
      <c r="F105" s="29"/>
      <c r="G105" s="153"/>
      <c r="H105" s="153"/>
      <c r="I105" s="30"/>
      <c r="J105" s="30"/>
      <c r="K105" s="31"/>
      <c r="L105" s="31"/>
      <c r="M105" s="30"/>
      <c r="N105" s="27" t="str">
        <f>IF(Table126[[#This Row],[Site name]]= "", "",(Table126[[#This Row],[ASC certified harvested production volume (tonnes)]])-(Table126[[#This Row],[ASC certified stocked volume (tonnes)]]))</f>
        <v/>
      </c>
      <c r="O105" s="29"/>
    </row>
    <row r="106" spans="3:15" x14ac:dyDescent="0.4">
      <c r="C106" s="28"/>
      <c r="D106" s="33" t="str">
        <f>IF(Table126[[#This Row],[Site name]]="","",IF(Table126[[#This Row],[Site name]]=$C$5,$D$5,""))</f>
        <v/>
      </c>
      <c r="E106" s="28"/>
      <c r="F106" s="29"/>
      <c r="G106" s="153"/>
      <c r="H106" s="153"/>
      <c r="I106" s="30"/>
      <c r="J106" s="30"/>
      <c r="K106" s="31"/>
      <c r="L106" s="31"/>
      <c r="M106" s="30"/>
      <c r="N106" s="27" t="str">
        <f>IF(Table126[[#This Row],[Site name]]= "", "",(Table126[[#This Row],[ASC certified harvested production volume (tonnes)]])-(Table126[[#This Row],[ASC certified stocked volume (tonnes)]]))</f>
        <v/>
      </c>
      <c r="O106" s="29"/>
    </row>
    <row r="107" spans="3:15" x14ac:dyDescent="0.4">
      <c r="C107" s="28"/>
      <c r="D107" s="33" t="str">
        <f>IF(Table126[[#This Row],[Site name]]="","",IF(Table126[[#This Row],[Site name]]=$C$5,$D$5,""))</f>
        <v/>
      </c>
      <c r="E107" s="28"/>
      <c r="F107" s="29"/>
      <c r="G107" s="153"/>
      <c r="H107" s="153"/>
      <c r="I107" s="30"/>
      <c r="J107" s="30"/>
      <c r="K107" s="31"/>
      <c r="L107" s="31"/>
      <c r="M107" s="30"/>
      <c r="N107" s="27" t="str">
        <f>IF(Table126[[#This Row],[Site name]]= "", "",(Table126[[#This Row],[ASC certified harvested production volume (tonnes)]])-(Table126[[#This Row],[ASC certified stocked volume (tonnes)]]))</f>
        <v/>
      </c>
      <c r="O107" s="29"/>
    </row>
    <row r="108" spans="3:15" x14ac:dyDescent="0.4">
      <c r="C108" s="28"/>
      <c r="D108" s="33" t="str">
        <f>IF(Table126[[#This Row],[Site name]]="","",IF(Table126[[#This Row],[Site name]]=$C$5,$D$5,""))</f>
        <v/>
      </c>
      <c r="E108" s="28"/>
      <c r="F108" s="29"/>
      <c r="G108" s="153"/>
      <c r="H108" s="153"/>
      <c r="I108" s="30"/>
      <c r="J108" s="30"/>
      <c r="K108" s="31"/>
      <c r="L108" s="31"/>
      <c r="M108" s="30"/>
      <c r="N108" s="27" t="str">
        <f>IF(Table126[[#This Row],[Site name]]= "", "",(Table126[[#This Row],[ASC certified harvested production volume (tonnes)]])-(Table126[[#This Row],[ASC certified stocked volume (tonnes)]]))</f>
        <v/>
      </c>
      <c r="O108" s="29"/>
    </row>
    <row r="109" spans="3:15" x14ac:dyDescent="0.4">
      <c r="C109" s="28"/>
      <c r="D109" s="33" t="str">
        <f>IF(Table126[[#This Row],[Site name]]="","",IF(Table126[[#This Row],[Site name]]=$C$5,$D$5,""))</f>
        <v/>
      </c>
      <c r="E109" s="28"/>
      <c r="F109" s="29"/>
      <c r="G109" s="153"/>
      <c r="H109" s="153"/>
      <c r="I109" s="30"/>
      <c r="J109" s="30"/>
      <c r="K109" s="31"/>
      <c r="L109" s="31"/>
      <c r="M109" s="30"/>
      <c r="N109" s="27" t="str">
        <f>IF(Table126[[#This Row],[Site name]]= "", "",(Table126[[#This Row],[ASC certified harvested production volume (tonnes)]])-(Table126[[#This Row],[ASC certified stocked volume (tonnes)]]))</f>
        <v/>
      </c>
      <c r="O109" s="29"/>
    </row>
    <row r="110" spans="3:15" x14ac:dyDescent="0.4">
      <c r="C110" s="28"/>
      <c r="D110" s="33" t="str">
        <f>IF(Table126[[#This Row],[Site name]]="","",IF(Table126[[#This Row],[Site name]]=$C$5,$D$5,""))</f>
        <v/>
      </c>
      <c r="E110" s="28"/>
      <c r="F110" s="29"/>
      <c r="G110" s="153"/>
      <c r="H110" s="153"/>
      <c r="I110" s="30"/>
      <c r="J110" s="30"/>
      <c r="K110" s="31"/>
      <c r="L110" s="31"/>
      <c r="M110" s="30"/>
      <c r="N110" s="27" t="str">
        <f>IF(Table126[[#This Row],[Site name]]= "", "",(Table126[[#This Row],[ASC certified harvested production volume (tonnes)]])-(Table126[[#This Row],[ASC certified stocked volume (tonnes)]]))</f>
        <v/>
      </c>
      <c r="O110" s="29"/>
    </row>
    <row r="111" spans="3:15" x14ac:dyDescent="0.4">
      <c r="C111" s="28"/>
      <c r="D111" s="33" t="str">
        <f>IF(Table126[[#This Row],[Site name]]="","",IF(Table126[[#This Row],[Site name]]=$C$5,$D$5,""))</f>
        <v/>
      </c>
      <c r="E111" s="28"/>
      <c r="F111" s="29"/>
      <c r="G111" s="153"/>
      <c r="H111" s="153"/>
      <c r="I111" s="30"/>
      <c r="J111" s="30"/>
      <c r="K111" s="31"/>
      <c r="L111" s="31"/>
      <c r="M111" s="30"/>
      <c r="N111" s="27" t="str">
        <f>IF(Table126[[#This Row],[Site name]]= "", "",(Table126[[#This Row],[ASC certified harvested production volume (tonnes)]])-(Table126[[#This Row],[ASC certified stocked volume (tonnes)]]))</f>
        <v/>
      </c>
      <c r="O111" s="29"/>
    </row>
    <row r="112" spans="3:15" x14ac:dyDescent="0.4">
      <c r="C112" s="28"/>
      <c r="D112" s="33" t="str">
        <f>IF(Table126[[#This Row],[Site name]]="","",IF(Table126[[#This Row],[Site name]]=$C$5,$D$5,""))</f>
        <v/>
      </c>
      <c r="E112" s="28"/>
      <c r="F112" s="29"/>
      <c r="G112" s="153"/>
      <c r="H112" s="153"/>
      <c r="I112" s="30"/>
      <c r="J112" s="30"/>
      <c r="K112" s="31"/>
      <c r="L112" s="31"/>
      <c r="M112" s="30"/>
      <c r="N112" s="27" t="str">
        <f>IF(Table126[[#This Row],[Site name]]= "", "",(Table126[[#This Row],[ASC certified harvested production volume (tonnes)]])-(Table126[[#This Row],[ASC certified stocked volume (tonnes)]]))</f>
        <v/>
      </c>
      <c r="O112" s="29"/>
    </row>
    <row r="113" spans="3:15" x14ac:dyDescent="0.4">
      <c r="C113" s="28"/>
      <c r="D113" s="33" t="str">
        <f>IF(Table126[[#This Row],[Site name]]="","",IF(Table126[[#This Row],[Site name]]=$C$5,$D$5,""))</f>
        <v/>
      </c>
      <c r="E113" s="28"/>
      <c r="F113" s="29"/>
      <c r="G113" s="153"/>
      <c r="H113" s="153"/>
      <c r="I113" s="30"/>
      <c r="J113" s="30"/>
      <c r="K113" s="31"/>
      <c r="L113" s="31"/>
      <c r="M113" s="30"/>
      <c r="N113" s="27" t="str">
        <f>IF(Table126[[#This Row],[Site name]]= "", "",(Table126[[#This Row],[ASC certified harvested production volume (tonnes)]])-(Table126[[#This Row],[ASC certified stocked volume (tonnes)]]))</f>
        <v/>
      </c>
      <c r="O113" s="29"/>
    </row>
    <row r="114" spans="3:15" x14ac:dyDescent="0.4">
      <c r="C114" s="28"/>
      <c r="D114" s="33" t="str">
        <f>IF(Table126[[#This Row],[Site name]]="","",IF(Table126[[#This Row],[Site name]]=$C$5,$D$5,""))</f>
        <v/>
      </c>
      <c r="E114" s="28"/>
      <c r="F114" s="29"/>
      <c r="G114" s="153"/>
      <c r="H114" s="153"/>
      <c r="I114" s="30"/>
      <c r="J114" s="30"/>
      <c r="K114" s="31"/>
      <c r="L114" s="31"/>
      <c r="M114" s="30"/>
      <c r="N114" s="27" t="str">
        <f>IF(Table126[[#This Row],[Site name]]= "", "",(Table126[[#This Row],[ASC certified harvested production volume (tonnes)]])-(Table126[[#This Row],[ASC certified stocked volume (tonnes)]]))</f>
        <v/>
      </c>
      <c r="O114" s="29"/>
    </row>
    <row r="115" spans="3:15" x14ac:dyDescent="0.4">
      <c r="C115" s="28"/>
      <c r="D115" s="33" t="str">
        <f>IF(Table126[[#This Row],[Site name]]="","",IF(Table126[[#This Row],[Site name]]=$C$5,$D$5,""))</f>
        <v/>
      </c>
      <c r="E115" s="28"/>
      <c r="F115" s="29"/>
      <c r="G115" s="153"/>
      <c r="H115" s="153"/>
      <c r="I115" s="30"/>
      <c r="J115" s="30"/>
      <c r="K115" s="31"/>
      <c r="L115" s="31"/>
      <c r="M115" s="30"/>
      <c r="N115" s="27" t="str">
        <f>IF(Table126[[#This Row],[Site name]]= "", "",(Table126[[#This Row],[ASC certified harvested production volume (tonnes)]])-(Table126[[#This Row],[ASC certified stocked volume (tonnes)]]))</f>
        <v/>
      </c>
      <c r="O115" s="29"/>
    </row>
    <row r="116" spans="3:15" x14ac:dyDescent="0.4">
      <c r="C116" s="28"/>
      <c r="D116" s="33" t="str">
        <f>IF(Table126[[#This Row],[Site name]]="","",IF(Table126[[#This Row],[Site name]]=$C$5,$D$5,""))</f>
        <v/>
      </c>
      <c r="E116" s="28"/>
      <c r="F116" s="29"/>
      <c r="G116" s="153"/>
      <c r="H116" s="153"/>
      <c r="I116" s="30"/>
      <c r="J116" s="30"/>
      <c r="K116" s="31"/>
      <c r="L116" s="31"/>
      <c r="M116" s="30"/>
      <c r="N116" s="27" t="str">
        <f>IF(Table126[[#This Row],[Site name]]= "", "",(Table126[[#This Row],[ASC certified harvested production volume (tonnes)]])-(Table126[[#This Row],[ASC certified stocked volume (tonnes)]]))</f>
        <v/>
      </c>
      <c r="O116" s="29"/>
    </row>
    <row r="117" spans="3:15" x14ac:dyDescent="0.4">
      <c r="C117" s="28"/>
      <c r="D117" s="33" t="str">
        <f>IF(Table126[[#This Row],[Site name]]="","",IF(Table126[[#This Row],[Site name]]=$C$5,$D$5,""))</f>
        <v/>
      </c>
      <c r="E117" s="28"/>
      <c r="F117" s="29"/>
      <c r="G117" s="153"/>
      <c r="H117" s="153"/>
      <c r="I117" s="30"/>
      <c r="J117" s="30"/>
      <c r="K117" s="31"/>
      <c r="L117" s="31"/>
      <c r="M117" s="30"/>
      <c r="N117" s="27" t="str">
        <f>IF(Table126[[#This Row],[Site name]]= "", "",(Table126[[#This Row],[ASC certified harvested production volume (tonnes)]])-(Table126[[#This Row],[ASC certified stocked volume (tonnes)]]))</f>
        <v/>
      </c>
      <c r="O117" s="29"/>
    </row>
    <row r="118" spans="3:15" x14ac:dyDescent="0.4">
      <c r="C118" s="28"/>
      <c r="D118" s="33" t="str">
        <f>IF(Table126[[#This Row],[Site name]]="","",IF(Table126[[#This Row],[Site name]]=$C$5,$D$5,""))</f>
        <v/>
      </c>
      <c r="E118" s="28"/>
      <c r="F118" s="29"/>
      <c r="G118" s="153"/>
      <c r="H118" s="153"/>
      <c r="I118" s="30"/>
      <c r="J118" s="30"/>
      <c r="K118" s="31"/>
      <c r="L118" s="31"/>
      <c r="M118" s="30"/>
      <c r="N118" s="27" t="str">
        <f>IF(Table126[[#This Row],[Site name]]= "", "",(Table126[[#This Row],[ASC certified harvested production volume (tonnes)]])-(Table126[[#This Row],[ASC certified stocked volume (tonnes)]]))</f>
        <v/>
      </c>
      <c r="O118" s="29"/>
    </row>
    <row r="119" spans="3:15" x14ac:dyDescent="0.4">
      <c r="C119" s="28"/>
      <c r="D119" s="33" t="str">
        <f>IF(Table126[[#This Row],[Site name]]="","",IF(Table126[[#This Row],[Site name]]=$C$5,$D$5,""))</f>
        <v/>
      </c>
      <c r="E119" s="28"/>
      <c r="F119" s="29"/>
      <c r="G119" s="153"/>
      <c r="H119" s="153"/>
      <c r="I119" s="30"/>
      <c r="J119" s="30"/>
      <c r="K119" s="31"/>
      <c r="L119" s="31"/>
      <c r="M119" s="30"/>
      <c r="N119" s="27" t="str">
        <f>IF(Table126[[#This Row],[Site name]]= "", "",(Table126[[#This Row],[ASC certified harvested production volume (tonnes)]])-(Table126[[#This Row],[ASC certified stocked volume (tonnes)]]))</f>
        <v/>
      </c>
      <c r="O119" s="29"/>
    </row>
    <row r="120" spans="3:15" x14ac:dyDescent="0.4">
      <c r="C120" s="28"/>
      <c r="D120" s="33" t="str">
        <f>IF(Table126[[#This Row],[Site name]]="","",IF(Table126[[#This Row],[Site name]]=$C$5,$D$5,""))</f>
        <v/>
      </c>
      <c r="E120" s="28"/>
      <c r="F120" s="29"/>
      <c r="G120" s="153"/>
      <c r="H120" s="153"/>
      <c r="I120" s="30"/>
      <c r="J120" s="30"/>
      <c r="K120" s="31"/>
      <c r="L120" s="31"/>
      <c r="M120" s="30"/>
      <c r="N120" s="27" t="str">
        <f>IF(Table126[[#This Row],[Site name]]= "", "",(Table126[[#This Row],[ASC certified harvested production volume (tonnes)]])-(Table126[[#This Row],[ASC certified stocked volume (tonnes)]]))</f>
        <v/>
      </c>
      <c r="O120" s="29"/>
    </row>
    <row r="121" spans="3:15" x14ac:dyDescent="0.4">
      <c r="C121" s="28"/>
      <c r="D121" s="33" t="str">
        <f>IF(Table126[[#This Row],[Site name]]="","",IF(Table126[[#This Row],[Site name]]=$C$5,$D$5,""))</f>
        <v/>
      </c>
      <c r="E121" s="28"/>
      <c r="F121" s="29"/>
      <c r="G121" s="153"/>
      <c r="H121" s="153"/>
      <c r="I121" s="30"/>
      <c r="J121" s="30"/>
      <c r="K121" s="31"/>
      <c r="L121" s="31"/>
      <c r="M121" s="30"/>
      <c r="N121" s="27" t="str">
        <f>IF(Table126[[#This Row],[Site name]]= "", "",(Table126[[#This Row],[ASC certified harvested production volume (tonnes)]])-(Table126[[#This Row],[ASC certified stocked volume (tonnes)]]))</f>
        <v/>
      </c>
      <c r="O121" s="29"/>
    </row>
    <row r="122" spans="3:15" x14ac:dyDescent="0.4">
      <c r="C122" s="28"/>
      <c r="D122" s="33" t="str">
        <f>IF(Table126[[#This Row],[Site name]]="","",IF(Table126[[#This Row],[Site name]]=$C$5,$D$5,""))</f>
        <v/>
      </c>
      <c r="E122" s="28"/>
      <c r="F122" s="29"/>
      <c r="G122" s="153"/>
      <c r="H122" s="153"/>
      <c r="I122" s="30"/>
      <c r="J122" s="30"/>
      <c r="K122" s="31"/>
      <c r="L122" s="31"/>
      <c r="M122" s="30"/>
      <c r="N122" s="27" t="str">
        <f>IF(Table126[[#This Row],[Site name]]= "", "",(Table126[[#This Row],[ASC certified harvested production volume (tonnes)]])-(Table126[[#This Row],[ASC certified stocked volume (tonnes)]]))</f>
        <v/>
      </c>
      <c r="O122" s="29"/>
    </row>
    <row r="123" spans="3:15" x14ac:dyDescent="0.4">
      <c r="C123" s="28"/>
      <c r="D123" s="33" t="str">
        <f>IF(Table126[[#This Row],[Site name]]="","",IF(Table126[[#This Row],[Site name]]=$C$5,$D$5,""))</f>
        <v/>
      </c>
      <c r="E123" s="28"/>
      <c r="F123" s="29"/>
      <c r="G123" s="153"/>
      <c r="H123" s="153"/>
      <c r="I123" s="30"/>
      <c r="J123" s="30"/>
      <c r="K123" s="31"/>
      <c r="L123" s="31"/>
      <c r="M123" s="30"/>
      <c r="N123" s="27" t="str">
        <f>IF(Table126[[#This Row],[Site name]]= "", "",(Table126[[#This Row],[ASC certified harvested production volume (tonnes)]])-(Table126[[#This Row],[ASC certified stocked volume (tonnes)]]))</f>
        <v/>
      </c>
      <c r="O123" s="29"/>
    </row>
    <row r="124" spans="3:15" x14ac:dyDescent="0.4">
      <c r="C124" s="28"/>
      <c r="D124" s="33" t="str">
        <f>IF(Table126[[#This Row],[Site name]]="","",IF(Table126[[#This Row],[Site name]]=$C$5,$D$5,""))</f>
        <v/>
      </c>
      <c r="E124" s="28"/>
      <c r="F124" s="29"/>
      <c r="G124" s="153"/>
      <c r="H124" s="153"/>
      <c r="I124" s="30"/>
      <c r="J124" s="30"/>
      <c r="K124" s="31"/>
      <c r="L124" s="31"/>
      <c r="M124" s="30"/>
      <c r="N124" s="27" t="str">
        <f>IF(Table126[[#This Row],[Site name]]= "", "",(Table126[[#This Row],[ASC certified harvested production volume (tonnes)]])-(Table126[[#This Row],[ASC certified stocked volume (tonnes)]]))</f>
        <v/>
      </c>
      <c r="O124" s="29"/>
    </row>
    <row r="125" spans="3:15" x14ac:dyDescent="0.4">
      <c r="C125" s="28"/>
      <c r="D125" s="33" t="str">
        <f>IF(Table126[[#This Row],[Site name]]="","",IF(Table126[[#This Row],[Site name]]=$C$5,$D$5,""))</f>
        <v/>
      </c>
      <c r="E125" s="28"/>
      <c r="F125" s="29"/>
      <c r="G125" s="153"/>
      <c r="H125" s="153"/>
      <c r="I125" s="30"/>
      <c r="J125" s="30"/>
      <c r="K125" s="31"/>
      <c r="L125" s="31"/>
      <c r="M125" s="30"/>
      <c r="N125" s="27" t="str">
        <f>IF(Table126[[#This Row],[Site name]]= "", "",(Table126[[#This Row],[ASC certified harvested production volume (tonnes)]])-(Table126[[#This Row],[ASC certified stocked volume (tonnes)]]))</f>
        <v/>
      </c>
      <c r="O125" s="29"/>
    </row>
    <row r="126" spans="3:15" x14ac:dyDescent="0.4">
      <c r="C126" s="28"/>
      <c r="D126" s="33" t="str">
        <f>IF(Table126[[#This Row],[Site name]]="","",IF(Table126[[#This Row],[Site name]]=$C$5,$D$5,""))</f>
        <v/>
      </c>
      <c r="E126" s="28"/>
      <c r="F126" s="29"/>
      <c r="G126" s="153"/>
      <c r="H126" s="153"/>
      <c r="I126" s="30"/>
      <c r="J126" s="30"/>
      <c r="K126" s="31"/>
      <c r="L126" s="31"/>
      <c r="M126" s="30"/>
      <c r="N126" s="27" t="str">
        <f>IF(Table126[[#This Row],[Site name]]= "", "",(Table126[[#This Row],[ASC certified harvested production volume (tonnes)]])-(Table126[[#This Row],[ASC certified stocked volume (tonnes)]]))</f>
        <v/>
      </c>
      <c r="O126" s="29"/>
    </row>
    <row r="127" spans="3:15" x14ac:dyDescent="0.4">
      <c r="C127" s="28"/>
      <c r="D127" s="33" t="str">
        <f>IF(Table126[[#This Row],[Site name]]="","",IF(Table126[[#This Row],[Site name]]=$C$5,$D$5,""))</f>
        <v/>
      </c>
      <c r="E127" s="28"/>
      <c r="F127" s="29"/>
      <c r="G127" s="153"/>
      <c r="H127" s="153"/>
      <c r="I127" s="30"/>
      <c r="J127" s="30"/>
      <c r="K127" s="31"/>
      <c r="L127" s="31"/>
      <c r="M127" s="30"/>
      <c r="N127" s="27" t="str">
        <f>IF(Table126[[#This Row],[Site name]]= "", "",(Table126[[#This Row],[ASC certified harvested production volume (tonnes)]])-(Table126[[#This Row],[ASC certified stocked volume (tonnes)]]))</f>
        <v/>
      </c>
      <c r="O127" s="29"/>
    </row>
    <row r="128" spans="3:15" x14ac:dyDescent="0.4">
      <c r="C128" s="28"/>
      <c r="D128" s="33" t="str">
        <f>IF(Table126[[#This Row],[Site name]]="","",IF(Table126[[#This Row],[Site name]]=$C$5,$D$5,""))</f>
        <v/>
      </c>
      <c r="E128" s="28"/>
      <c r="F128" s="29"/>
      <c r="G128" s="153"/>
      <c r="H128" s="153"/>
      <c r="I128" s="30"/>
      <c r="J128" s="30"/>
      <c r="K128" s="31"/>
      <c r="L128" s="31"/>
      <c r="M128" s="30"/>
      <c r="N128" s="27" t="str">
        <f>IF(Table126[[#This Row],[Site name]]= "", "",(Table126[[#This Row],[ASC certified harvested production volume (tonnes)]])-(Table126[[#This Row],[ASC certified stocked volume (tonnes)]]))</f>
        <v/>
      </c>
      <c r="O128" s="29"/>
    </row>
    <row r="129" spans="3:15" x14ac:dyDescent="0.4">
      <c r="C129" s="28"/>
      <c r="D129" s="33" t="str">
        <f>IF(Table126[[#This Row],[Site name]]="","",IF(Table126[[#This Row],[Site name]]=$C$5,$D$5,""))</f>
        <v/>
      </c>
      <c r="E129" s="28"/>
      <c r="F129" s="29"/>
      <c r="G129" s="153"/>
      <c r="H129" s="153"/>
      <c r="I129" s="30"/>
      <c r="J129" s="30"/>
      <c r="K129" s="31"/>
      <c r="L129" s="31"/>
      <c r="M129" s="30"/>
      <c r="N129" s="27" t="str">
        <f>IF(Table126[[#This Row],[Site name]]= "", "",(Table126[[#This Row],[ASC certified harvested production volume (tonnes)]])-(Table126[[#This Row],[ASC certified stocked volume (tonnes)]]))</f>
        <v/>
      </c>
      <c r="O129" s="29"/>
    </row>
    <row r="130" spans="3:15" x14ac:dyDescent="0.4">
      <c r="C130" s="28"/>
      <c r="D130" s="33" t="str">
        <f>IF(Table126[[#This Row],[Site name]]="","",IF(Table126[[#This Row],[Site name]]=$C$5,$D$5,""))</f>
        <v/>
      </c>
      <c r="E130" s="28"/>
      <c r="F130" s="29"/>
      <c r="G130" s="153"/>
      <c r="H130" s="153"/>
      <c r="I130" s="30"/>
      <c r="J130" s="30"/>
      <c r="K130" s="31"/>
      <c r="L130" s="31"/>
      <c r="M130" s="30"/>
      <c r="N130" s="27" t="str">
        <f>IF(Table126[[#This Row],[Site name]]= "", "",(Table126[[#This Row],[ASC certified harvested production volume (tonnes)]])-(Table126[[#This Row],[ASC certified stocked volume (tonnes)]]))</f>
        <v/>
      </c>
      <c r="O130" s="29"/>
    </row>
    <row r="131" spans="3:15" x14ac:dyDescent="0.4">
      <c r="C131" s="28"/>
      <c r="D131" s="33" t="str">
        <f>IF(Table126[[#This Row],[Site name]]="","",IF(Table126[[#This Row],[Site name]]=$C$5,$D$5,""))</f>
        <v/>
      </c>
      <c r="E131" s="28"/>
      <c r="F131" s="29"/>
      <c r="G131" s="153"/>
      <c r="H131" s="153"/>
      <c r="I131" s="30"/>
      <c r="J131" s="30"/>
      <c r="K131" s="31"/>
      <c r="L131" s="31"/>
      <c r="M131" s="30"/>
      <c r="N131" s="27" t="str">
        <f>IF(Table126[[#This Row],[Site name]]= "", "",(Table126[[#This Row],[ASC certified harvested production volume (tonnes)]])-(Table126[[#This Row],[ASC certified stocked volume (tonnes)]]))</f>
        <v/>
      </c>
      <c r="O131" s="29"/>
    </row>
    <row r="132" spans="3:15" x14ac:dyDescent="0.4">
      <c r="C132" s="28"/>
      <c r="D132" s="33" t="str">
        <f>IF(Table126[[#This Row],[Site name]]="","",IF(Table126[[#This Row],[Site name]]=$C$5,$D$5,""))</f>
        <v/>
      </c>
      <c r="E132" s="28"/>
      <c r="F132" s="29"/>
      <c r="G132" s="153"/>
      <c r="H132" s="153"/>
      <c r="I132" s="30"/>
      <c r="J132" s="30"/>
      <c r="K132" s="31"/>
      <c r="L132" s="31"/>
      <c r="M132" s="30"/>
      <c r="N132" s="27" t="str">
        <f>IF(Table126[[#This Row],[Site name]]= "", "",(Table126[[#This Row],[ASC certified harvested production volume (tonnes)]])-(Table126[[#This Row],[ASC certified stocked volume (tonnes)]]))</f>
        <v/>
      </c>
      <c r="O132" s="29"/>
    </row>
    <row r="133" spans="3:15" x14ac:dyDescent="0.4">
      <c r="C133" s="28"/>
      <c r="D133" s="33" t="str">
        <f>IF(Table126[[#This Row],[Site name]]="","",IF(Table126[[#This Row],[Site name]]=$C$5,$D$5,""))</f>
        <v/>
      </c>
      <c r="E133" s="28"/>
      <c r="F133" s="29"/>
      <c r="G133" s="153"/>
      <c r="H133" s="153"/>
      <c r="I133" s="30"/>
      <c r="J133" s="30"/>
      <c r="K133" s="31"/>
      <c r="L133" s="31"/>
      <c r="M133" s="30"/>
      <c r="N133" s="27" t="str">
        <f>IF(Table126[[#This Row],[Site name]]= "", "",(Table126[[#This Row],[ASC certified harvested production volume (tonnes)]])-(Table126[[#This Row],[ASC certified stocked volume (tonnes)]]))</f>
        <v/>
      </c>
      <c r="O133" s="29"/>
    </row>
    <row r="134" spans="3:15" x14ac:dyDescent="0.4">
      <c r="C134" s="28"/>
      <c r="D134" s="33" t="str">
        <f>IF(Table126[[#This Row],[Site name]]="","",IF(Table126[[#This Row],[Site name]]=$C$5,$D$5,""))</f>
        <v/>
      </c>
      <c r="E134" s="28"/>
      <c r="F134" s="29"/>
      <c r="G134" s="153"/>
      <c r="H134" s="153"/>
      <c r="I134" s="30"/>
      <c r="J134" s="30"/>
      <c r="K134" s="31"/>
      <c r="L134" s="31"/>
      <c r="M134" s="30"/>
      <c r="N134" s="27" t="str">
        <f>IF(Table126[[#This Row],[Site name]]= "", "",(Table126[[#This Row],[ASC certified harvested production volume (tonnes)]])-(Table126[[#This Row],[ASC certified stocked volume (tonnes)]]))</f>
        <v/>
      </c>
      <c r="O134" s="29"/>
    </row>
    <row r="135" spans="3:15" x14ac:dyDescent="0.4">
      <c r="C135" s="28"/>
      <c r="D135" s="33" t="str">
        <f>IF(Table126[[#This Row],[Site name]]="","",IF(Table126[[#This Row],[Site name]]=$C$5,$D$5,""))</f>
        <v/>
      </c>
      <c r="E135" s="28"/>
      <c r="F135" s="29"/>
      <c r="G135" s="153"/>
      <c r="H135" s="153"/>
      <c r="I135" s="30"/>
      <c r="J135" s="30"/>
      <c r="K135" s="31"/>
      <c r="L135" s="31"/>
      <c r="M135" s="30"/>
      <c r="N135" s="27" t="str">
        <f>IF(Table126[[#This Row],[Site name]]= "", "",(Table126[[#This Row],[ASC certified harvested production volume (tonnes)]])-(Table126[[#This Row],[ASC certified stocked volume (tonnes)]]))</f>
        <v/>
      </c>
      <c r="O135" s="29"/>
    </row>
    <row r="136" spans="3:15" x14ac:dyDescent="0.4">
      <c r="C136" s="28"/>
      <c r="D136" s="33" t="str">
        <f>IF(Table126[[#This Row],[Site name]]="","",IF(Table126[[#This Row],[Site name]]=$C$5,$D$5,""))</f>
        <v/>
      </c>
      <c r="E136" s="28"/>
      <c r="F136" s="29"/>
      <c r="G136" s="153"/>
      <c r="H136" s="153"/>
      <c r="I136" s="30"/>
      <c r="J136" s="30"/>
      <c r="K136" s="31"/>
      <c r="L136" s="31"/>
      <c r="M136" s="30"/>
      <c r="N136" s="27" t="str">
        <f>IF(Table126[[#This Row],[Site name]]= "", "",(Table126[[#This Row],[ASC certified harvested production volume (tonnes)]])-(Table126[[#This Row],[ASC certified stocked volume (tonnes)]]))</f>
        <v/>
      </c>
      <c r="O136" s="29"/>
    </row>
    <row r="137" spans="3:15" x14ac:dyDescent="0.4">
      <c r="C137" s="28"/>
      <c r="D137" s="33" t="str">
        <f>IF(Table126[[#This Row],[Site name]]="","",IF(Table126[[#This Row],[Site name]]=$C$5,$D$5,""))</f>
        <v/>
      </c>
      <c r="E137" s="28"/>
      <c r="F137" s="29"/>
      <c r="G137" s="153"/>
      <c r="H137" s="153"/>
      <c r="I137" s="30"/>
      <c r="J137" s="30"/>
      <c r="K137" s="31"/>
      <c r="L137" s="31"/>
      <c r="M137" s="30"/>
      <c r="N137" s="27" t="str">
        <f>IF(Table126[[#This Row],[Site name]]= "", "",(Table126[[#This Row],[ASC certified harvested production volume (tonnes)]])-(Table126[[#This Row],[ASC certified stocked volume (tonnes)]]))</f>
        <v/>
      </c>
      <c r="O137" s="29"/>
    </row>
    <row r="138" spans="3:15" x14ac:dyDescent="0.4">
      <c r="C138" s="28"/>
      <c r="D138" s="33" t="str">
        <f>IF(Table126[[#This Row],[Site name]]="","",IF(Table126[[#This Row],[Site name]]=$C$5,$D$5,""))</f>
        <v/>
      </c>
      <c r="E138" s="28"/>
      <c r="F138" s="29"/>
      <c r="G138" s="153"/>
      <c r="H138" s="153"/>
      <c r="I138" s="30"/>
      <c r="J138" s="30"/>
      <c r="K138" s="31"/>
      <c r="L138" s="31"/>
      <c r="M138" s="30"/>
      <c r="N138" s="27" t="str">
        <f>IF(Table126[[#This Row],[Site name]]= "", "",(Table126[[#This Row],[ASC certified harvested production volume (tonnes)]])-(Table126[[#This Row],[ASC certified stocked volume (tonnes)]]))</f>
        <v/>
      </c>
      <c r="O138" s="29"/>
    </row>
    <row r="139" spans="3:15" x14ac:dyDescent="0.4">
      <c r="C139" s="28"/>
      <c r="D139" s="33" t="str">
        <f>IF(Table126[[#This Row],[Site name]]="","",IF(Table126[[#This Row],[Site name]]=$C$5,$D$5,""))</f>
        <v/>
      </c>
      <c r="E139" s="28"/>
      <c r="F139" s="29"/>
      <c r="G139" s="153"/>
      <c r="H139" s="153"/>
      <c r="I139" s="30"/>
      <c r="J139" s="30"/>
      <c r="K139" s="31"/>
      <c r="L139" s="31"/>
      <c r="M139" s="30"/>
      <c r="N139" s="27" t="str">
        <f>IF(Table126[[#This Row],[Site name]]= "", "",(Table126[[#This Row],[ASC certified harvested production volume (tonnes)]])-(Table126[[#This Row],[ASC certified stocked volume (tonnes)]]))</f>
        <v/>
      </c>
      <c r="O139" s="29"/>
    </row>
    <row r="140" spans="3:15" x14ac:dyDescent="0.4">
      <c r="C140" s="28"/>
      <c r="D140" s="33" t="str">
        <f>IF(Table126[[#This Row],[Site name]]="","",IF(Table126[[#This Row],[Site name]]=$C$5,$D$5,""))</f>
        <v/>
      </c>
      <c r="E140" s="28"/>
      <c r="F140" s="29"/>
      <c r="G140" s="153"/>
      <c r="H140" s="153"/>
      <c r="I140" s="30"/>
      <c r="J140" s="30"/>
      <c r="K140" s="31"/>
      <c r="L140" s="31"/>
      <c r="M140" s="30"/>
      <c r="N140" s="27" t="str">
        <f>IF(Table126[[#This Row],[Site name]]= "", "",(Table126[[#This Row],[ASC certified harvested production volume (tonnes)]])-(Table126[[#This Row],[ASC certified stocked volume (tonnes)]]))</f>
        <v/>
      </c>
      <c r="O140" s="29"/>
    </row>
    <row r="141" spans="3:15" x14ac:dyDescent="0.4">
      <c r="C141" s="28"/>
      <c r="D141" s="33" t="str">
        <f>IF(Table126[[#This Row],[Site name]]="","",IF(Table126[[#This Row],[Site name]]=$C$5,$D$5,""))</f>
        <v/>
      </c>
      <c r="E141" s="28"/>
      <c r="F141" s="29"/>
      <c r="G141" s="153"/>
      <c r="H141" s="153"/>
      <c r="I141" s="30"/>
      <c r="J141" s="30"/>
      <c r="K141" s="31"/>
      <c r="L141" s="31"/>
      <c r="M141" s="30"/>
      <c r="N141" s="27" t="str">
        <f>IF(Table126[[#This Row],[Site name]]= "", "",(Table126[[#This Row],[ASC certified harvested production volume (tonnes)]])-(Table126[[#This Row],[ASC certified stocked volume (tonnes)]]))</f>
        <v/>
      </c>
      <c r="O141" s="29"/>
    </row>
    <row r="142" spans="3:15" x14ac:dyDescent="0.4">
      <c r="C142" s="28"/>
      <c r="D142" s="33" t="str">
        <f>IF(Table126[[#This Row],[Site name]]="","",IF(Table126[[#This Row],[Site name]]=$C$5,$D$5,""))</f>
        <v/>
      </c>
      <c r="E142" s="28"/>
      <c r="F142" s="29"/>
      <c r="G142" s="153"/>
      <c r="H142" s="153"/>
      <c r="I142" s="30"/>
      <c r="J142" s="30"/>
      <c r="K142" s="31"/>
      <c r="L142" s="31"/>
      <c r="M142" s="30"/>
      <c r="N142" s="27" t="str">
        <f>IF(Table126[[#This Row],[Site name]]= "", "",(Table126[[#This Row],[ASC certified harvested production volume (tonnes)]])-(Table126[[#This Row],[ASC certified stocked volume (tonnes)]]))</f>
        <v/>
      </c>
      <c r="O142" s="29"/>
    </row>
    <row r="143" spans="3:15" x14ac:dyDescent="0.4">
      <c r="C143" s="28"/>
      <c r="D143" s="33" t="str">
        <f>IF(Table126[[#This Row],[Site name]]="","",IF(Table126[[#This Row],[Site name]]=$C$5,$D$5,""))</f>
        <v/>
      </c>
      <c r="E143" s="28"/>
      <c r="F143" s="29"/>
      <c r="G143" s="153"/>
      <c r="H143" s="153"/>
      <c r="I143" s="30"/>
      <c r="J143" s="30"/>
      <c r="K143" s="31"/>
      <c r="L143" s="31"/>
      <c r="M143" s="30"/>
      <c r="N143" s="27" t="str">
        <f>IF(Table126[[#This Row],[Site name]]= "", "",(Table126[[#This Row],[ASC certified harvested production volume (tonnes)]])-(Table126[[#This Row],[ASC certified stocked volume (tonnes)]]))</f>
        <v/>
      </c>
      <c r="O143" s="29"/>
    </row>
    <row r="144" spans="3:15" x14ac:dyDescent="0.4">
      <c r="C144" s="28"/>
      <c r="D144" s="33" t="str">
        <f>IF(Table126[[#This Row],[Site name]]="","",IF(Table126[[#This Row],[Site name]]=$C$5,$D$5,""))</f>
        <v/>
      </c>
      <c r="E144" s="28"/>
      <c r="F144" s="29"/>
      <c r="G144" s="153"/>
      <c r="H144" s="153"/>
      <c r="I144" s="30"/>
      <c r="J144" s="30"/>
      <c r="K144" s="31"/>
      <c r="L144" s="31"/>
      <c r="M144" s="30"/>
      <c r="N144" s="27" t="str">
        <f>IF(Table126[[#This Row],[Site name]]= "", "",(Table126[[#This Row],[ASC certified harvested production volume (tonnes)]])-(Table126[[#This Row],[ASC certified stocked volume (tonnes)]]))</f>
        <v/>
      </c>
      <c r="O144" s="29"/>
    </row>
    <row r="145" spans="3:15" x14ac:dyDescent="0.4">
      <c r="C145" s="28"/>
      <c r="D145" s="33" t="str">
        <f>IF(Table126[[#This Row],[Site name]]="","",IF(Table126[[#This Row],[Site name]]=$C$5,$D$5,""))</f>
        <v/>
      </c>
      <c r="E145" s="28"/>
      <c r="F145" s="29"/>
      <c r="G145" s="153"/>
      <c r="H145" s="153"/>
      <c r="I145" s="30"/>
      <c r="J145" s="30"/>
      <c r="K145" s="31"/>
      <c r="L145" s="31"/>
      <c r="M145" s="30"/>
      <c r="N145" s="27" t="str">
        <f>IF(Table126[[#This Row],[Site name]]= "", "",(Table126[[#This Row],[ASC certified harvested production volume (tonnes)]])-(Table126[[#This Row],[ASC certified stocked volume (tonnes)]]))</f>
        <v/>
      </c>
      <c r="O145" s="29"/>
    </row>
    <row r="146" spans="3:15" x14ac:dyDescent="0.4">
      <c r="C146" s="28"/>
      <c r="D146" s="33" t="str">
        <f>IF(Table126[[#This Row],[Site name]]="","",IF(Table126[[#This Row],[Site name]]=$C$5,$D$5,""))</f>
        <v/>
      </c>
      <c r="E146" s="28"/>
      <c r="F146" s="29"/>
      <c r="G146" s="153"/>
      <c r="H146" s="153"/>
      <c r="I146" s="30"/>
      <c r="J146" s="30"/>
      <c r="K146" s="31"/>
      <c r="L146" s="31"/>
      <c r="M146" s="30"/>
      <c r="N146" s="27" t="str">
        <f>IF(Table126[[#This Row],[Site name]]= "", "",(Table126[[#This Row],[ASC certified harvested production volume (tonnes)]])-(Table126[[#This Row],[ASC certified stocked volume (tonnes)]]))</f>
        <v/>
      </c>
      <c r="O146" s="29"/>
    </row>
    <row r="147" spans="3:15" x14ac:dyDescent="0.4">
      <c r="C147" s="28"/>
      <c r="D147" s="33" t="str">
        <f>IF(Table126[[#This Row],[Site name]]="","",IF(Table126[[#This Row],[Site name]]=$C$5,$D$5,""))</f>
        <v/>
      </c>
      <c r="E147" s="28"/>
      <c r="F147" s="29"/>
      <c r="G147" s="153"/>
      <c r="H147" s="153"/>
      <c r="I147" s="30"/>
      <c r="J147" s="30"/>
      <c r="K147" s="31"/>
      <c r="L147" s="31"/>
      <c r="M147" s="30"/>
      <c r="N147" s="27" t="str">
        <f>IF(Table126[[#This Row],[Site name]]= "", "",(Table126[[#This Row],[ASC certified harvested production volume (tonnes)]])-(Table126[[#This Row],[ASC certified stocked volume (tonnes)]]))</f>
        <v/>
      </c>
      <c r="O147" s="29"/>
    </row>
    <row r="148" spans="3:15" x14ac:dyDescent="0.4">
      <c r="C148" s="28"/>
      <c r="D148" s="33" t="str">
        <f>IF(Table126[[#This Row],[Site name]]="","",IF(Table126[[#This Row],[Site name]]=$C$5,$D$5,""))</f>
        <v/>
      </c>
      <c r="E148" s="28"/>
      <c r="F148" s="29"/>
      <c r="G148" s="153"/>
      <c r="H148" s="153"/>
      <c r="I148" s="30"/>
      <c r="J148" s="30"/>
      <c r="K148" s="31"/>
      <c r="L148" s="31"/>
      <c r="M148" s="30"/>
      <c r="N148" s="27" t="str">
        <f>IF(Table126[[#This Row],[Site name]]= "", "",(Table126[[#This Row],[ASC certified harvested production volume (tonnes)]])-(Table126[[#This Row],[ASC certified stocked volume (tonnes)]]))</f>
        <v/>
      </c>
      <c r="O148" s="29"/>
    </row>
    <row r="149" spans="3:15" x14ac:dyDescent="0.4">
      <c r="C149" s="28"/>
      <c r="D149" s="33" t="str">
        <f>IF(Table126[[#This Row],[Site name]]="","",IF(Table126[[#This Row],[Site name]]=$C$5,$D$5,""))</f>
        <v/>
      </c>
      <c r="E149" s="28"/>
      <c r="F149" s="29"/>
      <c r="G149" s="153"/>
      <c r="H149" s="153"/>
      <c r="I149" s="30"/>
      <c r="J149" s="30"/>
      <c r="K149" s="31"/>
      <c r="L149" s="31"/>
      <c r="M149" s="30"/>
      <c r="N149" s="27" t="str">
        <f>IF(Table126[[#This Row],[Site name]]= "", "",(Table126[[#This Row],[ASC certified harvested production volume (tonnes)]])-(Table126[[#This Row],[ASC certified stocked volume (tonnes)]]))</f>
        <v/>
      </c>
      <c r="O149" s="29"/>
    </row>
    <row r="150" spans="3:15" x14ac:dyDescent="0.4">
      <c r="C150" s="28"/>
      <c r="D150" s="33" t="str">
        <f>IF(Table126[[#This Row],[Site name]]="","",IF(Table126[[#This Row],[Site name]]=$C$5,$D$5,""))</f>
        <v/>
      </c>
      <c r="E150" s="28"/>
      <c r="F150" s="29"/>
      <c r="G150" s="153"/>
      <c r="H150" s="153"/>
      <c r="I150" s="30"/>
      <c r="J150" s="30"/>
      <c r="K150" s="31"/>
      <c r="L150" s="31"/>
      <c r="M150" s="30"/>
      <c r="N150" s="27" t="str">
        <f>IF(Table126[[#This Row],[Site name]]= "", "",(Table126[[#This Row],[ASC certified harvested production volume (tonnes)]])-(Table126[[#This Row],[ASC certified stocked volume (tonnes)]]))</f>
        <v/>
      </c>
      <c r="O150" s="29"/>
    </row>
    <row r="151" spans="3:15" x14ac:dyDescent="0.4">
      <c r="C151" s="28"/>
      <c r="D151" s="33" t="str">
        <f>IF(Table126[[#This Row],[Site name]]="","",IF(Table126[[#This Row],[Site name]]=$C$5,$D$5,""))</f>
        <v/>
      </c>
      <c r="E151" s="28"/>
      <c r="F151" s="29"/>
      <c r="G151" s="153"/>
      <c r="H151" s="153"/>
      <c r="I151" s="30"/>
      <c r="J151" s="30"/>
      <c r="K151" s="31"/>
      <c r="L151" s="31"/>
      <c r="M151" s="30"/>
      <c r="N151" s="27" t="str">
        <f>IF(Table126[[#This Row],[Site name]]= "", "",(Table126[[#This Row],[ASC certified harvested production volume (tonnes)]])-(Table126[[#This Row],[ASC certified stocked volume (tonnes)]]))</f>
        <v/>
      </c>
      <c r="O151" s="29"/>
    </row>
    <row r="152" spans="3:15" x14ac:dyDescent="0.4">
      <c r="C152" s="28"/>
      <c r="D152" s="33" t="str">
        <f>IF(Table126[[#This Row],[Site name]]="","",IF(Table126[[#This Row],[Site name]]=$C$5,$D$5,""))</f>
        <v/>
      </c>
      <c r="E152" s="28"/>
      <c r="F152" s="29"/>
      <c r="G152" s="153"/>
      <c r="H152" s="153"/>
      <c r="I152" s="30"/>
      <c r="J152" s="30"/>
      <c r="K152" s="31"/>
      <c r="L152" s="31"/>
      <c r="M152" s="30"/>
      <c r="N152" s="27" t="str">
        <f>IF(Table126[[#This Row],[Site name]]= "", "",(Table126[[#This Row],[ASC certified harvested production volume (tonnes)]])-(Table126[[#This Row],[ASC certified stocked volume (tonnes)]]))</f>
        <v/>
      </c>
      <c r="O152" s="29"/>
    </row>
    <row r="153" spans="3:15" x14ac:dyDescent="0.4">
      <c r="C153" s="28"/>
      <c r="D153" s="33" t="str">
        <f>IF(Table126[[#This Row],[Site name]]="","",IF(Table126[[#This Row],[Site name]]=$C$5,$D$5,""))</f>
        <v/>
      </c>
      <c r="E153" s="28"/>
      <c r="F153" s="29"/>
      <c r="G153" s="153"/>
      <c r="H153" s="153"/>
      <c r="I153" s="30"/>
      <c r="J153" s="30"/>
      <c r="K153" s="31"/>
      <c r="L153" s="31"/>
      <c r="M153" s="30"/>
      <c r="N153" s="27" t="str">
        <f>IF(Table126[[#This Row],[Site name]]= "", "",(Table126[[#This Row],[ASC certified harvested production volume (tonnes)]])-(Table126[[#This Row],[ASC certified stocked volume (tonnes)]]))</f>
        <v/>
      </c>
      <c r="O153" s="29"/>
    </row>
    <row r="154" spans="3:15" x14ac:dyDescent="0.4">
      <c r="C154" s="28"/>
      <c r="D154" s="33" t="str">
        <f>IF(Table126[[#This Row],[Site name]]="","",IF(Table126[[#This Row],[Site name]]=$C$5,$D$5,""))</f>
        <v/>
      </c>
      <c r="E154" s="28"/>
      <c r="F154" s="29"/>
      <c r="G154" s="153"/>
      <c r="H154" s="153"/>
      <c r="I154" s="30"/>
      <c r="J154" s="30"/>
      <c r="K154" s="31"/>
      <c r="L154" s="31"/>
      <c r="M154" s="30"/>
      <c r="N154" s="27" t="str">
        <f>IF(Table126[[#This Row],[Site name]]= "", "",(Table126[[#This Row],[ASC certified harvested production volume (tonnes)]])-(Table126[[#This Row],[ASC certified stocked volume (tonnes)]]))</f>
        <v/>
      </c>
      <c r="O154" s="29"/>
    </row>
    <row r="155" spans="3:15" x14ac:dyDescent="0.4">
      <c r="C155" s="28"/>
      <c r="D155" s="33" t="str">
        <f>IF(Table126[[#This Row],[Site name]]="","",IF(Table126[[#This Row],[Site name]]=$C$5,$D$5,""))</f>
        <v/>
      </c>
      <c r="E155" s="28"/>
      <c r="F155" s="29"/>
      <c r="G155" s="153"/>
      <c r="H155" s="153"/>
      <c r="I155" s="30"/>
      <c r="J155" s="30"/>
      <c r="K155" s="31"/>
      <c r="L155" s="31"/>
      <c r="M155" s="30"/>
      <c r="N155" s="27" t="str">
        <f>IF(Table126[[#This Row],[Site name]]= "", "",(Table126[[#This Row],[ASC certified harvested production volume (tonnes)]])-(Table126[[#This Row],[ASC certified stocked volume (tonnes)]]))</f>
        <v/>
      </c>
      <c r="O155" s="29"/>
    </row>
    <row r="156" spans="3:15" x14ac:dyDescent="0.4">
      <c r="C156" s="28"/>
      <c r="D156" s="33" t="str">
        <f>IF(Table126[[#This Row],[Site name]]="","",IF(Table126[[#This Row],[Site name]]=$C$5,$D$5,""))</f>
        <v/>
      </c>
      <c r="E156" s="28"/>
      <c r="F156" s="29"/>
      <c r="G156" s="153"/>
      <c r="H156" s="153"/>
      <c r="I156" s="30"/>
      <c r="J156" s="30"/>
      <c r="K156" s="31"/>
      <c r="L156" s="31"/>
      <c r="M156" s="30"/>
      <c r="N156" s="27" t="str">
        <f>IF(Table126[[#This Row],[Site name]]= "", "",(Table126[[#This Row],[ASC certified harvested production volume (tonnes)]])-(Table126[[#This Row],[ASC certified stocked volume (tonnes)]]))</f>
        <v/>
      </c>
      <c r="O156" s="29"/>
    </row>
    <row r="157" spans="3:15" x14ac:dyDescent="0.4">
      <c r="C157" s="28"/>
      <c r="D157" s="33" t="str">
        <f>IF(Table126[[#This Row],[Site name]]="","",IF(Table126[[#This Row],[Site name]]=$C$5,$D$5,""))</f>
        <v/>
      </c>
      <c r="E157" s="28"/>
      <c r="F157" s="29"/>
      <c r="G157" s="153"/>
      <c r="H157" s="153"/>
      <c r="I157" s="30"/>
      <c r="J157" s="30"/>
      <c r="K157" s="31"/>
      <c r="L157" s="31"/>
      <c r="M157" s="30"/>
      <c r="N157" s="27" t="str">
        <f>IF(Table126[[#This Row],[Site name]]= "", "",(Table126[[#This Row],[ASC certified harvested production volume (tonnes)]])-(Table126[[#This Row],[ASC certified stocked volume (tonnes)]]))</f>
        <v/>
      </c>
      <c r="O157" s="29"/>
    </row>
    <row r="158" spans="3:15" x14ac:dyDescent="0.4">
      <c r="C158" s="28"/>
      <c r="D158" s="33" t="str">
        <f>IF(Table126[[#This Row],[Site name]]="","",IF(Table126[[#This Row],[Site name]]=$C$5,$D$5,""))</f>
        <v/>
      </c>
      <c r="E158" s="28"/>
      <c r="F158" s="29"/>
      <c r="G158" s="153"/>
      <c r="H158" s="153"/>
      <c r="I158" s="30"/>
      <c r="J158" s="30"/>
      <c r="K158" s="31"/>
      <c r="L158" s="31"/>
      <c r="M158" s="30"/>
      <c r="N158" s="27" t="str">
        <f>IF(Table126[[#This Row],[Site name]]= "", "",(Table126[[#This Row],[ASC certified harvested production volume (tonnes)]])-(Table126[[#This Row],[ASC certified stocked volume (tonnes)]]))</f>
        <v/>
      </c>
      <c r="O158" s="29"/>
    </row>
    <row r="159" spans="3:15" x14ac:dyDescent="0.4">
      <c r="C159" s="28"/>
      <c r="D159" s="33" t="str">
        <f>IF(Table126[[#This Row],[Site name]]="","",IF(Table126[[#This Row],[Site name]]=$C$5,$D$5,""))</f>
        <v/>
      </c>
      <c r="E159" s="28"/>
      <c r="F159" s="29"/>
      <c r="G159" s="153"/>
      <c r="H159" s="153"/>
      <c r="I159" s="30"/>
      <c r="J159" s="30"/>
      <c r="K159" s="31"/>
      <c r="L159" s="31"/>
      <c r="M159" s="30"/>
      <c r="N159" s="27" t="str">
        <f>IF(Table126[[#This Row],[Site name]]= "", "",(Table126[[#This Row],[ASC certified harvested production volume (tonnes)]])-(Table126[[#This Row],[ASC certified stocked volume (tonnes)]]))</f>
        <v/>
      </c>
      <c r="O159" s="29"/>
    </row>
    <row r="160" spans="3:15" x14ac:dyDescent="0.4">
      <c r="C160" s="28"/>
      <c r="D160" s="33" t="str">
        <f>IF(Table126[[#This Row],[Site name]]="","",IF(Table126[[#This Row],[Site name]]=$C$5,$D$5,""))</f>
        <v/>
      </c>
      <c r="E160" s="28"/>
      <c r="F160" s="29"/>
      <c r="G160" s="153"/>
      <c r="H160" s="153"/>
      <c r="I160" s="30"/>
      <c r="J160" s="30"/>
      <c r="K160" s="31"/>
      <c r="L160" s="31"/>
      <c r="M160" s="30"/>
      <c r="N160" s="27" t="str">
        <f>IF(Table126[[#This Row],[Site name]]= "", "",(Table126[[#This Row],[ASC certified harvested production volume (tonnes)]])-(Table126[[#This Row],[ASC certified stocked volume (tonnes)]]))</f>
        <v/>
      </c>
      <c r="O160" s="29"/>
    </row>
    <row r="161" spans="3:15" x14ac:dyDescent="0.4">
      <c r="C161" s="28"/>
      <c r="D161" s="33" t="str">
        <f>IF(Table126[[#This Row],[Site name]]="","",IF(Table126[[#This Row],[Site name]]=$C$5,$D$5,""))</f>
        <v/>
      </c>
      <c r="E161" s="28"/>
      <c r="F161" s="29"/>
      <c r="G161" s="153"/>
      <c r="H161" s="153"/>
      <c r="I161" s="30"/>
      <c r="J161" s="30"/>
      <c r="K161" s="31"/>
      <c r="L161" s="31"/>
      <c r="M161" s="30"/>
      <c r="N161" s="27" t="str">
        <f>IF(Table126[[#This Row],[Site name]]= "", "",(Table126[[#This Row],[ASC certified harvested production volume (tonnes)]])-(Table126[[#This Row],[ASC certified stocked volume (tonnes)]]))</f>
        <v/>
      </c>
      <c r="O161" s="29"/>
    </row>
    <row r="162" spans="3:15" x14ac:dyDescent="0.4">
      <c r="C162" s="28"/>
      <c r="D162" s="33" t="str">
        <f>IF(Table126[[#This Row],[Site name]]="","",IF(Table126[[#This Row],[Site name]]=$C$5,$D$5,""))</f>
        <v/>
      </c>
      <c r="E162" s="28"/>
      <c r="F162" s="29"/>
      <c r="G162" s="153"/>
      <c r="H162" s="153"/>
      <c r="I162" s="30"/>
      <c r="J162" s="30"/>
      <c r="K162" s="31"/>
      <c r="L162" s="31"/>
      <c r="M162" s="30"/>
      <c r="N162" s="27" t="str">
        <f>IF(Table126[[#This Row],[Site name]]= "", "",(Table126[[#This Row],[ASC certified harvested production volume (tonnes)]])-(Table126[[#This Row],[ASC certified stocked volume (tonnes)]]))</f>
        <v/>
      </c>
      <c r="O162" s="29"/>
    </row>
    <row r="163" spans="3:15" x14ac:dyDescent="0.4">
      <c r="C163" s="28"/>
      <c r="D163" s="33" t="str">
        <f>IF(Table126[[#This Row],[Site name]]="","",IF(Table126[[#This Row],[Site name]]=$C$5,$D$5,""))</f>
        <v/>
      </c>
      <c r="E163" s="28"/>
      <c r="F163" s="29"/>
      <c r="G163" s="153"/>
      <c r="H163" s="153"/>
      <c r="I163" s="30"/>
      <c r="J163" s="30"/>
      <c r="K163" s="31"/>
      <c r="L163" s="31"/>
      <c r="M163" s="30"/>
      <c r="N163" s="27" t="str">
        <f>IF(Table126[[#This Row],[Site name]]= "", "",(Table126[[#This Row],[ASC certified harvested production volume (tonnes)]])-(Table126[[#This Row],[ASC certified stocked volume (tonnes)]]))</f>
        <v/>
      </c>
      <c r="O163" s="29"/>
    </row>
    <row r="164" spans="3:15" x14ac:dyDescent="0.4">
      <c r="C164" s="28"/>
      <c r="D164" s="33" t="str">
        <f>IF(Table126[[#This Row],[Site name]]="","",IF(Table126[[#This Row],[Site name]]=$C$5,$D$5,""))</f>
        <v/>
      </c>
      <c r="E164" s="28"/>
      <c r="F164" s="29"/>
      <c r="G164" s="153"/>
      <c r="H164" s="153"/>
      <c r="I164" s="30"/>
      <c r="J164" s="30"/>
      <c r="K164" s="31"/>
      <c r="L164" s="31"/>
      <c r="M164" s="30"/>
      <c r="N164" s="27" t="str">
        <f>IF(Table126[[#This Row],[Site name]]= "", "",(Table126[[#This Row],[ASC certified harvested production volume (tonnes)]])-(Table126[[#This Row],[ASC certified stocked volume (tonnes)]]))</f>
        <v/>
      </c>
      <c r="O164" s="29"/>
    </row>
    <row r="165" spans="3:15" x14ac:dyDescent="0.4">
      <c r="C165" s="28"/>
      <c r="D165" s="33" t="str">
        <f>IF(Table126[[#This Row],[Site name]]="","",IF(Table126[[#This Row],[Site name]]=$C$5,$D$5,""))</f>
        <v/>
      </c>
      <c r="E165" s="28"/>
      <c r="F165" s="29"/>
      <c r="G165" s="153"/>
      <c r="H165" s="153"/>
      <c r="I165" s="30"/>
      <c r="J165" s="30"/>
      <c r="K165" s="31"/>
      <c r="L165" s="31"/>
      <c r="M165" s="30"/>
      <c r="N165" s="27" t="str">
        <f>IF(Table126[[#This Row],[Site name]]= "", "",(Table126[[#This Row],[ASC certified harvested production volume (tonnes)]])-(Table126[[#This Row],[ASC certified stocked volume (tonnes)]]))</f>
        <v/>
      </c>
      <c r="O165" s="29"/>
    </row>
    <row r="166" spans="3:15" x14ac:dyDescent="0.4">
      <c r="C166" s="28"/>
      <c r="D166" s="33" t="str">
        <f>IF(Table126[[#This Row],[Site name]]="","",IF(Table126[[#This Row],[Site name]]=$C$5,$D$5,""))</f>
        <v/>
      </c>
      <c r="E166" s="28"/>
      <c r="F166" s="29"/>
      <c r="G166" s="153"/>
      <c r="H166" s="153"/>
      <c r="I166" s="30"/>
      <c r="J166" s="30"/>
      <c r="K166" s="31"/>
      <c r="L166" s="31"/>
      <c r="M166" s="30"/>
      <c r="N166" s="27" t="str">
        <f>IF(Table126[[#This Row],[Site name]]= "", "",(Table126[[#This Row],[ASC certified harvested production volume (tonnes)]])-(Table126[[#This Row],[ASC certified stocked volume (tonnes)]]))</f>
        <v/>
      </c>
      <c r="O166" s="29"/>
    </row>
    <row r="167" spans="3:15" x14ac:dyDescent="0.4">
      <c r="C167" s="28"/>
      <c r="D167" s="33" t="str">
        <f>IF(Table126[[#This Row],[Site name]]="","",IF(Table126[[#This Row],[Site name]]=$C$5,$D$5,""))</f>
        <v/>
      </c>
      <c r="E167" s="28"/>
      <c r="F167" s="29"/>
      <c r="G167" s="153"/>
      <c r="H167" s="153"/>
      <c r="I167" s="30"/>
      <c r="J167" s="30"/>
      <c r="K167" s="31"/>
      <c r="L167" s="31"/>
      <c r="M167" s="30"/>
      <c r="N167" s="27" t="str">
        <f>IF(Table126[[#This Row],[Site name]]= "", "",(Table126[[#This Row],[ASC certified harvested production volume (tonnes)]])-(Table126[[#This Row],[ASC certified stocked volume (tonnes)]]))</f>
        <v/>
      </c>
      <c r="O167" s="29"/>
    </row>
    <row r="168" spans="3:15" x14ac:dyDescent="0.4">
      <c r="C168" s="28"/>
      <c r="D168" s="33" t="str">
        <f>IF(Table126[[#This Row],[Site name]]="","",IF(Table126[[#This Row],[Site name]]=$C$5,$D$5,""))</f>
        <v/>
      </c>
      <c r="E168" s="28"/>
      <c r="F168" s="29"/>
      <c r="G168" s="153"/>
      <c r="H168" s="153"/>
      <c r="I168" s="30"/>
      <c r="J168" s="30"/>
      <c r="K168" s="31"/>
      <c r="L168" s="31"/>
      <c r="M168" s="30"/>
      <c r="N168" s="27" t="str">
        <f>IF(Table126[[#This Row],[Site name]]= "", "",(Table126[[#This Row],[ASC certified harvested production volume (tonnes)]])-(Table126[[#This Row],[ASC certified stocked volume (tonnes)]]))</f>
        <v/>
      </c>
      <c r="O168" s="29"/>
    </row>
    <row r="169" spans="3:15" x14ac:dyDescent="0.4">
      <c r="C169" s="28"/>
      <c r="D169" s="33" t="str">
        <f>IF(Table126[[#This Row],[Site name]]="","",IF(Table126[[#This Row],[Site name]]=$C$5,$D$5,""))</f>
        <v/>
      </c>
      <c r="E169" s="28"/>
      <c r="F169" s="29"/>
      <c r="G169" s="153"/>
      <c r="H169" s="153"/>
      <c r="I169" s="30"/>
      <c r="J169" s="30"/>
      <c r="K169" s="31"/>
      <c r="L169" s="31"/>
      <c r="M169" s="30"/>
      <c r="N169" s="27" t="str">
        <f>IF(Table126[[#This Row],[Site name]]= "", "",(Table126[[#This Row],[ASC certified harvested production volume (tonnes)]])-(Table126[[#This Row],[ASC certified stocked volume (tonnes)]]))</f>
        <v/>
      </c>
      <c r="O169" s="29"/>
    </row>
    <row r="170" spans="3:15" x14ac:dyDescent="0.4">
      <c r="C170" s="28"/>
      <c r="D170" s="33" t="str">
        <f>IF(Table126[[#This Row],[Site name]]="","",IF(Table126[[#This Row],[Site name]]=$C$5,$D$5,""))</f>
        <v/>
      </c>
      <c r="E170" s="28"/>
      <c r="F170" s="29"/>
      <c r="G170" s="153"/>
      <c r="H170" s="153"/>
      <c r="I170" s="30"/>
      <c r="J170" s="30"/>
      <c r="K170" s="31"/>
      <c r="L170" s="31"/>
      <c r="M170" s="30"/>
      <c r="N170" s="27" t="str">
        <f>IF(Table126[[#This Row],[Site name]]= "", "",(Table126[[#This Row],[ASC certified harvested production volume (tonnes)]])-(Table126[[#This Row],[ASC certified stocked volume (tonnes)]]))</f>
        <v/>
      </c>
      <c r="O170" s="29"/>
    </row>
    <row r="171" spans="3:15" x14ac:dyDescent="0.4">
      <c r="C171" s="28"/>
      <c r="D171" s="33" t="str">
        <f>IF(Table126[[#This Row],[Site name]]="","",IF(Table126[[#This Row],[Site name]]=$C$5,$D$5,""))</f>
        <v/>
      </c>
      <c r="E171" s="28"/>
      <c r="F171" s="29"/>
      <c r="G171" s="153"/>
      <c r="H171" s="153"/>
      <c r="I171" s="30"/>
      <c r="J171" s="30"/>
      <c r="K171" s="31"/>
      <c r="L171" s="31"/>
      <c r="M171" s="30"/>
      <c r="N171" s="27" t="str">
        <f>IF(Table126[[#This Row],[Site name]]= "", "",(Table126[[#This Row],[ASC certified harvested production volume (tonnes)]])-(Table126[[#This Row],[ASC certified stocked volume (tonnes)]]))</f>
        <v/>
      </c>
      <c r="O171" s="29"/>
    </row>
    <row r="172" spans="3:15" x14ac:dyDescent="0.4">
      <c r="C172" s="28"/>
      <c r="D172" s="33" t="str">
        <f>IF(Table126[[#This Row],[Site name]]="","",IF(Table126[[#This Row],[Site name]]=$C$5,$D$5,""))</f>
        <v/>
      </c>
      <c r="E172" s="28"/>
      <c r="F172" s="29"/>
      <c r="G172" s="153"/>
      <c r="H172" s="153"/>
      <c r="I172" s="30"/>
      <c r="J172" s="30"/>
      <c r="K172" s="31"/>
      <c r="L172" s="31"/>
      <c r="M172" s="30"/>
      <c r="N172" s="27" t="str">
        <f>IF(Table126[[#This Row],[Site name]]= "", "",(Table126[[#This Row],[ASC certified harvested production volume (tonnes)]])-(Table126[[#This Row],[ASC certified stocked volume (tonnes)]]))</f>
        <v/>
      </c>
      <c r="O172" s="29"/>
    </row>
    <row r="173" spans="3:15" x14ac:dyDescent="0.4">
      <c r="C173" s="28"/>
      <c r="D173" s="33" t="str">
        <f>IF(Table126[[#This Row],[Site name]]="","",IF(Table126[[#This Row],[Site name]]=$C$5,$D$5,""))</f>
        <v/>
      </c>
      <c r="E173" s="28"/>
      <c r="F173" s="29"/>
      <c r="G173" s="153"/>
      <c r="H173" s="153"/>
      <c r="I173" s="30"/>
      <c r="J173" s="30"/>
      <c r="K173" s="31"/>
      <c r="L173" s="31"/>
      <c r="M173" s="30"/>
      <c r="N173" s="27" t="str">
        <f>IF(Table126[[#This Row],[Site name]]= "", "",(Table126[[#This Row],[ASC certified harvested production volume (tonnes)]])-(Table126[[#This Row],[ASC certified stocked volume (tonnes)]]))</f>
        <v/>
      </c>
      <c r="O173" s="29"/>
    </row>
    <row r="174" spans="3:15" x14ac:dyDescent="0.4">
      <c r="C174" s="28"/>
      <c r="D174" s="33" t="str">
        <f>IF(Table126[[#This Row],[Site name]]="","",IF(Table126[[#This Row],[Site name]]=$C$5,$D$5,""))</f>
        <v/>
      </c>
      <c r="E174" s="28"/>
      <c r="F174" s="29"/>
      <c r="G174" s="153"/>
      <c r="H174" s="153"/>
      <c r="I174" s="30"/>
      <c r="J174" s="30"/>
      <c r="K174" s="31"/>
      <c r="L174" s="31"/>
      <c r="M174" s="30"/>
      <c r="N174" s="27" t="str">
        <f>IF(Table126[[#This Row],[Site name]]= "", "",(Table126[[#This Row],[ASC certified harvested production volume (tonnes)]])-(Table126[[#This Row],[ASC certified stocked volume (tonnes)]]))</f>
        <v/>
      </c>
      <c r="O174" s="29"/>
    </row>
    <row r="175" spans="3:15" x14ac:dyDescent="0.4">
      <c r="C175" s="28"/>
      <c r="D175" s="33" t="str">
        <f>IF(Table126[[#This Row],[Site name]]="","",IF(Table126[[#This Row],[Site name]]=$C$5,$D$5,""))</f>
        <v/>
      </c>
      <c r="E175" s="28"/>
      <c r="F175" s="29"/>
      <c r="G175" s="153"/>
      <c r="H175" s="153"/>
      <c r="I175" s="30"/>
      <c r="J175" s="30"/>
      <c r="K175" s="31"/>
      <c r="L175" s="31"/>
      <c r="M175" s="30"/>
      <c r="N175" s="27" t="str">
        <f>IF(Table126[[#This Row],[Site name]]= "", "",(Table126[[#This Row],[ASC certified harvested production volume (tonnes)]])-(Table126[[#This Row],[ASC certified stocked volume (tonnes)]]))</f>
        <v/>
      </c>
      <c r="O175" s="29"/>
    </row>
    <row r="176" spans="3:15" x14ac:dyDescent="0.4">
      <c r="C176" s="28"/>
      <c r="D176" s="33" t="str">
        <f>IF(Table126[[#This Row],[Site name]]="","",IF(Table126[[#This Row],[Site name]]=$C$5,$D$5,""))</f>
        <v/>
      </c>
      <c r="E176" s="28"/>
      <c r="F176" s="29"/>
      <c r="G176" s="153"/>
      <c r="H176" s="153"/>
      <c r="I176" s="30"/>
      <c r="J176" s="30"/>
      <c r="K176" s="31"/>
      <c r="L176" s="31"/>
      <c r="M176" s="30"/>
      <c r="N176" s="27" t="str">
        <f>IF(Table126[[#This Row],[Site name]]= "", "",(Table126[[#This Row],[ASC certified harvested production volume (tonnes)]])-(Table126[[#This Row],[ASC certified stocked volume (tonnes)]]))</f>
        <v/>
      </c>
      <c r="O176" s="29"/>
    </row>
    <row r="177" spans="3:15" x14ac:dyDescent="0.4">
      <c r="C177" s="28"/>
      <c r="D177" s="33" t="str">
        <f>IF(Table126[[#This Row],[Site name]]="","",IF(Table126[[#This Row],[Site name]]=$C$5,$D$5,""))</f>
        <v/>
      </c>
      <c r="E177" s="28"/>
      <c r="F177" s="29"/>
      <c r="G177" s="153"/>
      <c r="H177" s="153"/>
      <c r="I177" s="30"/>
      <c r="J177" s="30"/>
      <c r="K177" s="31"/>
      <c r="L177" s="31"/>
      <c r="M177" s="30"/>
      <c r="N177" s="27" t="str">
        <f>IF(Table126[[#This Row],[Site name]]= "", "",(Table126[[#This Row],[ASC certified harvested production volume (tonnes)]])-(Table126[[#This Row],[ASC certified stocked volume (tonnes)]]))</f>
        <v/>
      </c>
      <c r="O177" s="29"/>
    </row>
    <row r="178" spans="3:15" x14ac:dyDescent="0.4">
      <c r="C178" s="28"/>
      <c r="D178" s="33" t="str">
        <f>IF(Table126[[#This Row],[Site name]]="","",IF(Table126[[#This Row],[Site name]]=$C$5,$D$5,""))</f>
        <v/>
      </c>
      <c r="E178" s="28"/>
      <c r="F178" s="29"/>
      <c r="G178" s="153"/>
      <c r="H178" s="153"/>
      <c r="I178" s="30"/>
      <c r="J178" s="30"/>
      <c r="K178" s="31"/>
      <c r="L178" s="31"/>
      <c r="M178" s="30"/>
      <c r="N178" s="27" t="str">
        <f>IF(Table126[[#This Row],[Site name]]= "", "",(Table126[[#This Row],[ASC certified harvested production volume (tonnes)]])-(Table126[[#This Row],[ASC certified stocked volume (tonnes)]]))</f>
        <v/>
      </c>
      <c r="O178" s="29"/>
    </row>
    <row r="179" spans="3:15" x14ac:dyDescent="0.4">
      <c r="C179" s="28"/>
      <c r="D179" s="33" t="str">
        <f>IF(Table126[[#This Row],[Site name]]="","",IF(Table126[[#This Row],[Site name]]=$C$5,$D$5,""))</f>
        <v/>
      </c>
      <c r="E179" s="28"/>
      <c r="F179" s="29"/>
      <c r="G179" s="153"/>
      <c r="H179" s="153"/>
      <c r="I179" s="30"/>
      <c r="J179" s="30"/>
      <c r="K179" s="31"/>
      <c r="L179" s="31"/>
      <c r="M179" s="30"/>
      <c r="N179" s="27" t="str">
        <f>IF(Table126[[#This Row],[Site name]]= "", "",(Table126[[#This Row],[ASC certified harvested production volume (tonnes)]])-(Table126[[#This Row],[ASC certified stocked volume (tonnes)]]))</f>
        <v/>
      </c>
      <c r="O179" s="29"/>
    </row>
    <row r="180" spans="3:15" x14ac:dyDescent="0.4">
      <c r="C180" s="28"/>
      <c r="D180" s="33" t="str">
        <f>IF(Table126[[#This Row],[Site name]]="","",IF(Table126[[#This Row],[Site name]]=$C$5,$D$5,""))</f>
        <v/>
      </c>
      <c r="E180" s="28"/>
      <c r="F180" s="29"/>
      <c r="G180" s="153"/>
      <c r="H180" s="153"/>
      <c r="I180" s="30"/>
      <c r="J180" s="30"/>
      <c r="K180" s="31"/>
      <c r="L180" s="31"/>
      <c r="M180" s="30"/>
      <c r="N180" s="27" t="str">
        <f>IF(Table126[[#This Row],[Site name]]= "", "",(Table126[[#This Row],[ASC certified harvested production volume (tonnes)]])-(Table126[[#This Row],[ASC certified stocked volume (tonnes)]]))</f>
        <v/>
      </c>
      <c r="O180" s="29"/>
    </row>
    <row r="181" spans="3:15" x14ac:dyDescent="0.4">
      <c r="C181" s="28"/>
      <c r="D181" s="33" t="str">
        <f>IF(Table126[[#This Row],[Site name]]="","",IF(Table126[[#This Row],[Site name]]=$C$5,$D$5,""))</f>
        <v/>
      </c>
      <c r="E181" s="28"/>
      <c r="F181" s="29"/>
      <c r="G181" s="153"/>
      <c r="H181" s="153"/>
      <c r="I181" s="30"/>
      <c r="J181" s="30"/>
      <c r="K181" s="31"/>
      <c r="L181" s="31"/>
      <c r="M181" s="30"/>
      <c r="N181" s="27" t="str">
        <f>IF(Table126[[#This Row],[Site name]]= "", "",(Table126[[#This Row],[ASC certified harvested production volume (tonnes)]])-(Table126[[#This Row],[ASC certified stocked volume (tonnes)]]))</f>
        <v/>
      </c>
      <c r="O181" s="29"/>
    </row>
    <row r="182" spans="3:15" x14ac:dyDescent="0.4">
      <c r="C182" s="28"/>
      <c r="D182" s="33" t="str">
        <f>IF(Table126[[#This Row],[Site name]]="","",IF(Table126[[#This Row],[Site name]]=$C$5,$D$5,""))</f>
        <v/>
      </c>
      <c r="E182" s="28"/>
      <c r="F182" s="29"/>
      <c r="G182" s="153"/>
      <c r="H182" s="153"/>
      <c r="I182" s="30"/>
      <c r="J182" s="30"/>
      <c r="K182" s="31"/>
      <c r="L182" s="31"/>
      <c r="M182" s="30"/>
      <c r="N182" s="27" t="str">
        <f>IF(Table126[[#This Row],[Site name]]= "", "",(Table126[[#This Row],[ASC certified harvested production volume (tonnes)]])-(Table126[[#This Row],[ASC certified stocked volume (tonnes)]]))</f>
        <v/>
      </c>
      <c r="O182" s="29"/>
    </row>
    <row r="183" spans="3:15" x14ac:dyDescent="0.4">
      <c r="C183" s="28"/>
      <c r="D183" s="33" t="str">
        <f>IF(Table126[[#This Row],[Site name]]="","",IF(Table126[[#This Row],[Site name]]=$C$5,$D$5,""))</f>
        <v/>
      </c>
      <c r="E183" s="28"/>
      <c r="F183" s="29"/>
      <c r="G183" s="153"/>
      <c r="H183" s="153"/>
      <c r="I183" s="30"/>
      <c r="J183" s="30"/>
      <c r="K183" s="31"/>
      <c r="L183" s="31"/>
      <c r="M183" s="30"/>
      <c r="N183" s="27" t="str">
        <f>IF(Table126[[#This Row],[Site name]]= "", "",(Table126[[#This Row],[ASC certified harvested production volume (tonnes)]])-(Table126[[#This Row],[ASC certified stocked volume (tonnes)]]))</f>
        <v/>
      </c>
      <c r="O183" s="29"/>
    </row>
    <row r="184" spans="3:15" x14ac:dyDescent="0.4">
      <c r="C184" s="28"/>
      <c r="D184" s="33" t="str">
        <f>IF(Table126[[#This Row],[Site name]]="","",IF(Table126[[#This Row],[Site name]]=$C$5,$D$5,""))</f>
        <v/>
      </c>
      <c r="E184" s="28"/>
      <c r="F184" s="29"/>
      <c r="G184" s="153"/>
      <c r="H184" s="153"/>
      <c r="I184" s="30"/>
      <c r="J184" s="30"/>
      <c r="K184" s="31"/>
      <c r="L184" s="31"/>
      <c r="M184" s="30"/>
      <c r="N184" s="27" t="str">
        <f>IF(Table126[[#This Row],[Site name]]= "", "",(Table126[[#This Row],[ASC certified harvested production volume (tonnes)]])-(Table126[[#This Row],[ASC certified stocked volume (tonnes)]]))</f>
        <v/>
      </c>
      <c r="O184" s="29"/>
    </row>
    <row r="185" spans="3:15" x14ac:dyDescent="0.4">
      <c r="C185" s="28"/>
      <c r="D185" s="33" t="str">
        <f>IF(Table126[[#This Row],[Site name]]="","",IF(Table126[[#This Row],[Site name]]=$C$5,$D$5,""))</f>
        <v/>
      </c>
      <c r="E185" s="28"/>
      <c r="F185" s="29"/>
      <c r="G185" s="153"/>
      <c r="H185" s="153"/>
      <c r="I185" s="30"/>
      <c r="J185" s="30"/>
      <c r="K185" s="31"/>
      <c r="L185" s="31"/>
      <c r="M185" s="30"/>
      <c r="N185" s="27" t="str">
        <f>IF(Table126[[#This Row],[Site name]]= "", "",(Table126[[#This Row],[ASC certified harvested production volume (tonnes)]])-(Table126[[#This Row],[ASC certified stocked volume (tonnes)]]))</f>
        <v/>
      </c>
      <c r="O185" s="29"/>
    </row>
    <row r="186" spans="3:15" x14ac:dyDescent="0.4">
      <c r="C186" s="28"/>
      <c r="D186" s="33" t="str">
        <f>IF(Table126[[#This Row],[Site name]]="","",IF(Table126[[#This Row],[Site name]]=$C$5,$D$5,""))</f>
        <v/>
      </c>
      <c r="E186" s="28"/>
      <c r="F186" s="29"/>
      <c r="G186" s="153"/>
      <c r="H186" s="153"/>
      <c r="I186" s="30"/>
      <c r="J186" s="30"/>
      <c r="K186" s="31"/>
      <c r="L186" s="31"/>
      <c r="M186" s="30"/>
      <c r="N186" s="27" t="str">
        <f>IF(Table126[[#This Row],[Site name]]= "", "",(Table126[[#This Row],[ASC certified harvested production volume (tonnes)]])-(Table126[[#This Row],[ASC certified stocked volume (tonnes)]]))</f>
        <v/>
      </c>
      <c r="O186" s="29"/>
    </row>
    <row r="187" spans="3:15" x14ac:dyDescent="0.4">
      <c r="C187" s="28"/>
      <c r="D187" s="33" t="str">
        <f>IF(Table126[[#This Row],[Site name]]="","",IF(Table126[[#This Row],[Site name]]=$C$5,$D$5,""))</f>
        <v/>
      </c>
      <c r="E187" s="28"/>
      <c r="F187" s="29"/>
      <c r="G187" s="153"/>
      <c r="H187" s="153"/>
      <c r="I187" s="30"/>
      <c r="J187" s="30"/>
      <c r="K187" s="31"/>
      <c r="L187" s="31"/>
      <c r="M187" s="30"/>
      <c r="N187" s="27" t="str">
        <f>IF(Table126[[#This Row],[Site name]]= "", "",(Table126[[#This Row],[ASC certified harvested production volume (tonnes)]])-(Table126[[#This Row],[ASC certified stocked volume (tonnes)]]))</f>
        <v/>
      </c>
      <c r="O187" s="29"/>
    </row>
    <row r="188" spans="3:15" x14ac:dyDescent="0.4">
      <c r="C188" s="28"/>
      <c r="D188" s="33" t="str">
        <f>IF(Table126[[#This Row],[Site name]]="","",IF(Table126[[#This Row],[Site name]]=$C$5,$D$5,""))</f>
        <v/>
      </c>
      <c r="E188" s="28"/>
      <c r="F188" s="29"/>
      <c r="G188" s="153"/>
      <c r="H188" s="153"/>
      <c r="I188" s="30"/>
      <c r="J188" s="30"/>
      <c r="K188" s="31"/>
      <c r="L188" s="31"/>
      <c r="M188" s="30"/>
      <c r="N188" s="27" t="str">
        <f>IF(Table126[[#This Row],[Site name]]= "", "",(Table126[[#This Row],[ASC certified harvested production volume (tonnes)]])-(Table126[[#This Row],[ASC certified stocked volume (tonnes)]]))</f>
        <v/>
      </c>
      <c r="O188" s="29"/>
    </row>
    <row r="189" spans="3:15" x14ac:dyDescent="0.4">
      <c r="C189" s="28"/>
      <c r="D189" s="33" t="str">
        <f>IF(Table126[[#This Row],[Site name]]="","",IF(Table126[[#This Row],[Site name]]=$C$5,$D$5,""))</f>
        <v/>
      </c>
      <c r="E189" s="28"/>
      <c r="F189" s="29"/>
      <c r="G189" s="153"/>
      <c r="H189" s="153"/>
      <c r="I189" s="30"/>
      <c r="J189" s="30"/>
      <c r="K189" s="31"/>
      <c r="L189" s="31"/>
      <c r="M189" s="30"/>
      <c r="N189" s="27" t="str">
        <f>IF(Table126[[#This Row],[Site name]]= "", "",(Table126[[#This Row],[ASC certified harvested production volume (tonnes)]])-(Table126[[#This Row],[ASC certified stocked volume (tonnes)]]))</f>
        <v/>
      </c>
      <c r="O189" s="29"/>
    </row>
    <row r="190" spans="3:15" x14ac:dyDescent="0.4">
      <c r="C190" s="28"/>
      <c r="D190" s="33" t="str">
        <f>IF(Table126[[#This Row],[Site name]]="","",IF(Table126[[#This Row],[Site name]]=$C$5,$D$5,""))</f>
        <v/>
      </c>
      <c r="E190" s="28"/>
      <c r="F190" s="29"/>
      <c r="G190" s="153"/>
      <c r="H190" s="153"/>
      <c r="I190" s="30"/>
      <c r="J190" s="30"/>
      <c r="K190" s="31"/>
      <c r="L190" s="31"/>
      <c r="M190" s="30"/>
      <c r="N190" s="27" t="str">
        <f>IF(Table126[[#This Row],[Site name]]= "", "",(Table126[[#This Row],[ASC certified harvested production volume (tonnes)]])-(Table126[[#This Row],[ASC certified stocked volume (tonnes)]]))</f>
        <v/>
      </c>
      <c r="O190" s="29"/>
    </row>
    <row r="191" spans="3:15" x14ac:dyDescent="0.4">
      <c r="C191" s="28"/>
      <c r="D191" s="33" t="str">
        <f>IF(Table126[[#This Row],[Site name]]="","",IF(Table126[[#This Row],[Site name]]=$C$5,$D$5,""))</f>
        <v/>
      </c>
      <c r="E191" s="28"/>
      <c r="F191" s="29"/>
      <c r="G191" s="153"/>
      <c r="H191" s="153"/>
      <c r="I191" s="30"/>
      <c r="J191" s="30"/>
      <c r="K191" s="31"/>
      <c r="L191" s="31"/>
      <c r="M191" s="30"/>
      <c r="N191" s="27" t="str">
        <f>IF(Table126[[#This Row],[Site name]]= "", "",(Table126[[#This Row],[ASC certified harvested production volume (tonnes)]])-(Table126[[#This Row],[ASC certified stocked volume (tonnes)]]))</f>
        <v/>
      </c>
      <c r="O191" s="29"/>
    </row>
    <row r="192" spans="3:15" x14ac:dyDescent="0.4">
      <c r="C192" s="28"/>
      <c r="D192" s="33" t="str">
        <f>IF(Table126[[#This Row],[Site name]]="","",IF(Table126[[#This Row],[Site name]]=$C$5,$D$5,""))</f>
        <v/>
      </c>
      <c r="E192" s="28"/>
      <c r="F192" s="29"/>
      <c r="G192" s="153"/>
      <c r="H192" s="153"/>
      <c r="I192" s="30"/>
      <c r="J192" s="30"/>
      <c r="K192" s="31"/>
      <c r="L192" s="31"/>
      <c r="M192" s="30"/>
      <c r="N192" s="27" t="str">
        <f>IF(Table126[[#This Row],[Site name]]= "", "",(Table126[[#This Row],[ASC certified harvested production volume (tonnes)]])-(Table126[[#This Row],[ASC certified stocked volume (tonnes)]]))</f>
        <v/>
      </c>
      <c r="O192" s="29"/>
    </row>
    <row r="193" spans="3:15" x14ac:dyDescent="0.4">
      <c r="C193" s="28"/>
      <c r="D193" s="33" t="str">
        <f>IF(Table126[[#This Row],[Site name]]="","",IF(Table126[[#This Row],[Site name]]=$C$5,$D$5,""))</f>
        <v/>
      </c>
      <c r="E193" s="28"/>
      <c r="F193" s="29"/>
      <c r="G193" s="153"/>
      <c r="H193" s="153"/>
      <c r="I193" s="30"/>
      <c r="J193" s="30"/>
      <c r="K193" s="31"/>
      <c r="L193" s="31"/>
      <c r="M193" s="30"/>
      <c r="N193" s="27" t="str">
        <f>IF(Table126[[#This Row],[Site name]]= "", "",(Table126[[#This Row],[ASC certified harvested production volume (tonnes)]])-(Table126[[#This Row],[ASC certified stocked volume (tonnes)]]))</f>
        <v/>
      </c>
      <c r="O193" s="29"/>
    </row>
    <row r="194" spans="3:15" x14ac:dyDescent="0.4">
      <c r="C194" s="28"/>
      <c r="D194" s="33" t="str">
        <f>IF(Table126[[#This Row],[Site name]]="","",IF(Table126[[#This Row],[Site name]]=$C$5,$D$5,""))</f>
        <v/>
      </c>
      <c r="E194" s="28"/>
      <c r="F194" s="29"/>
      <c r="G194" s="153"/>
      <c r="H194" s="153"/>
      <c r="I194" s="30"/>
      <c r="J194" s="30"/>
      <c r="K194" s="31"/>
      <c r="L194" s="31"/>
      <c r="M194" s="30"/>
      <c r="N194" s="27" t="str">
        <f>IF(Table126[[#This Row],[Site name]]= "", "",(Table126[[#This Row],[ASC certified harvested production volume (tonnes)]])-(Table126[[#This Row],[ASC certified stocked volume (tonnes)]]))</f>
        <v/>
      </c>
      <c r="O194" s="29"/>
    </row>
    <row r="195" spans="3:15" x14ac:dyDescent="0.4">
      <c r="C195" s="28"/>
      <c r="D195" s="33" t="str">
        <f>IF(Table126[[#This Row],[Site name]]="","",IF(Table126[[#This Row],[Site name]]=$C$5,$D$5,""))</f>
        <v/>
      </c>
      <c r="E195" s="28"/>
      <c r="F195" s="29"/>
      <c r="G195" s="153"/>
      <c r="H195" s="153"/>
      <c r="I195" s="30"/>
      <c r="J195" s="30"/>
      <c r="K195" s="31"/>
      <c r="L195" s="31"/>
      <c r="M195" s="30"/>
      <c r="N195" s="27" t="str">
        <f>IF(Table126[[#This Row],[Site name]]= "", "",(Table126[[#This Row],[ASC certified harvested production volume (tonnes)]])-(Table126[[#This Row],[ASC certified stocked volume (tonnes)]]))</f>
        <v/>
      </c>
      <c r="O195" s="29"/>
    </row>
    <row r="196" spans="3:15" x14ac:dyDescent="0.4">
      <c r="C196" s="28"/>
      <c r="D196" s="33" t="str">
        <f>IF(Table126[[#This Row],[Site name]]="","",IF(Table126[[#This Row],[Site name]]=$C$5,$D$5,""))</f>
        <v/>
      </c>
      <c r="E196" s="28"/>
      <c r="F196" s="29"/>
      <c r="G196" s="153"/>
      <c r="H196" s="153"/>
      <c r="I196" s="30"/>
      <c r="J196" s="30"/>
      <c r="K196" s="31"/>
      <c r="L196" s="31"/>
      <c r="M196" s="30"/>
      <c r="N196" s="27" t="str">
        <f>IF(Table126[[#This Row],[Site name]]= "", "",(Table126[[#This Row],[ASC certified harvested production volume (tonnes)]])-(Table126[[#This Row],[ASC certified stocked volume (tonnes)]]))</f>
        <v/>
      </c>
      <c r="O196" s="29"/>
    </row>
    <row r="197" spans="3:15" x14ac:dyDescent="0.4">
      <c r="C197" s="28"/>
      <c r="D197" s="33" t="str">
        <f>IF(Table126[[#This Row],[Site name]]="","",IF(Table126[[#This Row],[Site name]]=$C$5,$D$5,""))</f>
        <v/>
      </c>
      <c r="E197" s="28"/>
      <c r="F197" s="29"/>
      <c r="G197" s="153"/>
      <c r="H197" s="153"/>
      <c r="I197" s="30"/>
      <c r="J197" s="30"/>
      <c r="K197" s="31"/>
      <c r="L197" s="31"/>
      <c r="M197" s="30"/>
      <c r="N197" s="27" t="str">
        <f>IF(Table126[[#This Row],[Site name]]= "", "",(Table126[[#This Row],[ASC certified harvested production volume (tonnes)]])-(Table126[[#This Row],[ASC certified stocked volume (tonnes)]]))</f>
        <v/>
      </c>
      <c r="O197" s="29"/>
    </row>
    <row r="198" spans="3:15" x14ac:dyDescent="0.4">
      <c r="C198" s="28"/>
      <c r="D198" s="33" t="str">
        <f>IF(Table126[[#This Row],[Site name]]="","",IF(Table126[[#This Row],[Site name]]=$C$5,$D$5,""))</f>
        <v/>
      </c>
      <c r="E198" s="28"/>
      <c r="F198" s="29"/>
      <c r="G198" s="153"/>
      <c r="H198" s="153"/>
      <c r="I198" s="30"/>
      <c r="J198" s="30"/>
      <c r="K198" s="31"/>
      <c r="L198" s="31"/>
      <c r="M198" s="30"/>
      <c r="N198" s="27" t="str">
        <f>IF(Table126[[#This Row],[Site name]]= "", "",(Table126[[#This Row],[ASC certified harvested production volume (tonnes)]])-(Table126[[#This Row],[ASC certified stocked volume (tonnes)]]))</f>
        <v/>
      </c>
      <c r="O198" s="29"/>
    </row>
    <row r="199" spans="3:15" x14ac:dyDescent="0.4">
      <c r="C199" s="28"/>
      <c r="D199" s="33" t="str">
        <f>IF(Table126[[#This Row],[Site name]]="","",IF(Table126[[#This Row],[Site name]]=$C$5,$D$5,""))</f>
        <v/>
      </c>
      <c r="E199" s="28"/>
      <c r="F199" s="29"/>
      <c r="G199" s="153"/>
      <c r="H199" s="153"/>
      <c r="I199" s="30"/>
      <c r="J199" s="30"/>
      <c r="K199" s="31"/>
      <c r="L199" s="31"/>
      <c r="M199" s="30"/>
      <c r="N199" s="27" t="str">
        <f>IF(Table126[[#This Row],[Site name]]= "", "",(Table126[[#This Row],[ASC certified harvested production volume (tonnes)]])-(Table126[[#This Row],[ASC certified stocked volume (tonnes)]]))</f>
        <v/>
      </c>
      <c r="O199" s="29"/>
    </row>
    <row r="200" spans="3:15" x14ac:dyDescent="0.4">
      <c r="C200" s="28"/>
      <c r="D200" s="33" t="str">
        <f>IF(Table126[[#This Row],[Site name]]="","",IF(Table126[[#This Row],[Site name]]=$C$5,$D$5,""))</f>
        <v/>
      </c>
      <c r="E200" s="28"/>
      <c r="F200" s="29"/>
      <c r="G200" s="153"/>
      <c r="H200" s="153"/>
      <c r="I200" s="30"/>
      <c r="J200" s="30"/>
      <c r="K200" s="31"/>
      <c r="L200" s="31"/>
      <c r="M200" s="30"/>
      <c r="N200" s="27" t="str">
        <f>IF(Table126[[#This Row],[Site name]]= "", "",(Table126[[#This Row],[ASC certified harvested production volume (tonnes)]])-(Table126[[#This Row],[ASC certified stocked volume (tonnes)]]))</f>
        <v/>
      </c>
      <c r="O200" s="29"/>
    </row>
    <row r="202" spans="3:15" x14ac:dyDescent="0.4">
      <c r="K202" s="22"/>
    </row>
  </sheetData>
  <sheetProtection algorithmName="SHA-512" hashValue="mwpTQRvlIEGDVtB5E3eweLu6SlUs2vZDzZWT9AqU6eoHcz6NKFkGLMnQR8NfuU2W5Emf/7KKQzLhASFcMjoL6w==" saltValue="UJmC4eJQbnSq1p5m0bcnfw==" spinCount="100000" sheet="1" objects="1" scenarios="1"/>
  <phoneticPr fontId="6" type="noConversion"/>
  <dataValidations count="6">
    <dataValidation type="decimal" operator="greaterThanOrEqual" allowBlank="1" showInputMessage="1" showErrorMessage="1" sqref="I5:J7 I9:J200 M5:M200" xr:uid="{DDA18046-72F1-4B0B-A909-32B8104DB78C}">
      <formula1>0</formula1>
    </dataValidation>
    <dataValidation type="textLength" operator="lessThan" allowBlank="1" showInputMessage="1" showErrorMessage="1" sqref="O5:O200" xr:uid="{B5E54653-338A-4187-8C23-940515030E23}">
      <formula1>3000</formula1>
    </dataValidation>
    <dataValidation type="custom" allowBlank="1" showInputMessage="1" showErrorMessage="1" error="Please indicate for each farm site the ASC site ID as indicated in MyASC. The ASC site ID consists of one character (S), followed by seven numbers, for example S0001234" sqref="D5" xr:uid="{AA86CF7E-20E2-44B5-AC3E-541052CE76BA}">
      <formula1>AND(LEFT(D5)="s", LEN(D5)=8)</formula1>
    </dataValidation>
    <dataValidation type="date" allowBlank="1" showInputMessage="1" showErrorMessage="1" sqref="G5:H200" xr:uid="{D736A6B0-9A53-4BFE-BFB0-CD6DE6380FBE}">
      <formula1>43831</formula1>
      <formula2>73051</formula2>
    </dataValidation>
    <dataValidation type="whole" operator="greaterThanOrEqual" allowBlank="1" showInputMessage="1" showErrorMessage="1" sqref="K5:L7 K9:L200" xr:uid="{8B8138EC-BE2D-4BD0-A780-31202187FC8E}">
      <formula1>0</formula1>
    </dataValidation>
    <dataValidation type="list" allowBlank="1" showInputMessage="1" showErrorMessage="1" sqref="C6:C200" xr:uid="{8F75718F-6058-423A-9E4A-F6D321EA2109}">
      <formula1>$C$5</formula1>
    </dataValidation>
  </dataValidations>
  <pageMargins left="0.7" right="0.7" top="0.75" bottom="0.75" header="0.3" footer="0.3"/>
  <pageSetup orientation="portrait" r:id="rId1"/>
  <drawing r:id="rId2"/>
  <tableParts count="1">
    <tablePart r:id="rId3"/>
  </tableParts>
  <extLst>
    <ext xmlns:x14="http://schemas.microsoft.com/office/spreadsheetml/2009/9/main" uri="{CCE6A557-97BC-4b89-ADB6-D9C93CAAB3DF}">
      <x14:dataValidations xmlns:xm="http://schemas.microsoft.com/office/excel/2006/main" count="1">
        <x14:dataValidation type="list" allowBlank="1" showInputMessage="1" xr:uid="{E9219F07-2759-4BC8-A7DD-20DD5FDF3674}">
          <x14:formula1>
            <xm:f>'Dropdown tables - Production'!$U$2:$U$1602</xm:f>
          </x14:formula1>
          <xm:sqref>E5:E200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88EB5D-79B7-4E70-A4DF-36CF68E0AECE}">
  <sheetPr codeName="Sheet20">
    <tabColor theme="9" tint="0.59999389629810485"/>
  </sheetPr>
  <dimension ref="C2:M50"/>
  <sheetViews>
    <sheetView zoomScale="80" zoomScaleNormal="80" workbookViewId="0"/>
  </sheetViews>
  <sheetFormatPr defaultColWidth="9" defaultRowHeight="16.8" x14ac:dyDescent="0.4"/>
  <cols>
    <col min="1" max="1" width="9" style="15"/>
    <col min="2" max="2" width="0" style="15" hidden="1" customWidth="1"/>
    <col min="3" max="3" width="25.77734375" style="33" bestFit="1" customWidth="1"/>
    <col min="4" max="4" width="14" style="33" bestFit="1" customWidth="1"/>
    <col min="5" max="5" width="16.109375" style="15" bestFit="1" customWidth="1"/>
    <col min="6" max="6" width="23.21875" style="15" customWidth="1"/>
    <col min="7" max="7" width="25.21875" style="15" bestFit="1" customWidth="1"/>
    <col min="8" max="8" width="17.33203125" style="15" customWidth="1"/>
    <col min="9" max="9" width="9" style="15"/>
    <col min="10" max="10" width="24.77734375" style="15" customWidth="1"/>
    <col min="11" max="11" width="17.5546875" style="15" bestFit="1" customWidth="1"/>
    <col min="12" max="12" width="17.44140625" style="15" customWidth="1"/>
    <col min="13" max="13" width="17.77734375" style="15" customWidth="1"/>
    <col min="14" max="16384" width="9" style="15"/>
  </cols>
  <sheetData>
    <row r="2" spans="3:13" x14ac:dyDescent="0.4">
      <c r="C2" s="18" t="s">
        <v>58</v>
      </c>
      <c r="J2" s="32" t="s">
        <v>1933</v>
      </c>
    </row>
    <row r="3" spans="3:13" s="16" customFormat="1" hidden="1" x14ac:dyDescent="0.4">
      <c r="C3" s="16" t="s">
        <v>59</v>
      </c>
      <c r="D3" s="16" t="s">
        <v>60</v>
      </c>
      <c r="E3" s="16" t="s">
        <v>61</v>
      </c>
      <c r="F3" s="16" t="s">
        <v>62</v>
      </c>
      <c r="G3" s="16" t="s">
        <v>63</v>
      </c>
      <c r="H3" s="16" t="s">
        <v>1918</v>
      </c>
      <c r="J3" s="16" t="s">
        <v>64</v>
      </c>
      <c r="K3" s="16" t="s">
        <v>65</v>
      </c>
      <c r="L3" s="16" t="s">
        <v>1919</v>
      </c>
      <c r="M3" s="16" t="s">
        <v>66</v>
      </c>
    </row>
    <row r="4" spans="3:13" ht="51" thickBot="1" x14ac:dyDescent="0.45">
      <c r="C4" s="155" t="s">
        <v>67</v>
      </c>
      <c r="D4" s="156" t="s">
        <v>68</v>
      </c>
      <c r="E4" s="151" t="s">
        <v>69</v>
      </c>
      <c r="F4" s="34" t="s">
        <v>70</v>
      </c>
      <c r="G4" s="23" t="s">
        <v>71</v>
      </c>
      <c r="H4" s="156" t="s">
        <v>56</v>
      </c>
      <c r="J4" s="330" t="s">
        <v>72</v>
      </c>
      <c r="K4" s="108" t="s">
        <v>52</v>
      </c>
      <c r="L4" s="108" t="s">
        <v>73</v>
      </c>
      <c r="M4" s="108" t="s">
        <v>74</v>
      </c>
    </row>
    <row r="5" spans="3:13" ht="17.399999999999999" thickTop="1" x14ac:dyDescent="0.4">
      <c r="C5" s="28"/>
      <c r="D5" s="29"/>
      <c r="E5" s="162"/>
      <c r="F5" s="37"/>
      <c r="G5" s="31"/>
      <c r="H5" s="29"/>
      <c r="J5" s="331">
        <f>'Dropdown tables - Production'!G3</f>
        <v>0</v>
      </c>
      <c r="K5" s="332" t="str">
        <f>IF(IF(J5=0, "", SUMIFS(Table126[Stocking count 
('# animals)],Table126[Species in production (Latin name) (select)],Table19[[#This Row],[Species in production]]))=0, "0",IF(J5=0, "", SUMIFS(Table126[Stocking count 
('# animals)],Table126[Species in production (Latin name) (select)],Table19[[#This Row],[Species in production]])))</f>
        <v/>
      </c>
      <c r="L5" s="332" t="str">
        <f>IF(IF(J5=0, "", SUMIFS(Table2[Number of escapees ('# animals)],Table2[Species in production (latin name) (select)],Table19[[#This Row],[Species in production]]))=0, "0",IF(J5=0, "", SUMIFS(Table2[Number of escapees ('# animals)],Table2[Species in production (latin name) (select)],Table19[[#This Row],[Species in production]])))</f>
        <v/>
      </c>
      <c r="M5" s="346" t="str">
        <f>IFERROR(IF(J5= 0, "", ((Table19[[#This Row],[Known escapes ('# animals)]]/((Table19[[#This Row],[Stocking count 
('# animals)]])))*100)),"0")</f>
        <v/>
      </c>
    </row>
    <row r="6" spans="3:13" x14ac:dyDescent="0.4">
      <c r="C6" s="28"/>
      <c r="D6" s="29"/>
      <c r="E6" s="162"/>
      <c r="F6" s="37"/>
      <c r="G6" s="31"/>
      <c r="H6" s="29"/>
      <c r="J6" s="333">
        <f>'Dropdown tables - Production'!G4</f>
        <v>0</v>
      </c>
      <c r="K6" s="334" t="str">
        <f>IF(IF(J6=0, "", SUMIFS(Table126[Stocking count 
('# animals)],Table126[Species in production (Latin name) (select)],Table19[[#This Row],[Species in production]]))=0, "0",IF(J6=0, "", SUMIFS(Table126[Stocking count 
('# animals)],Table126[Species in production (Latin name) (select)],Table19[[#This Row],[Species in production]])))</f>
        <v/>
      </c>
      <c r="L6" s="334" t="str">
        <f>IF(IF(J6=0, "", SUMIFS(Table2[Number of escapees ('# animals)],Table2[Species in production (latin name) (select)],Table19[[#This Row],[Species in production]]))=0, "0",IF(J6=0, "", SUMIFS(Table2[Number of escapees ('# animals)],Table2[Species in production (latin name) (select)],Table19[[#This Row],[Species in production]])))</f>
        <v/>
      </c>
      <c r="M6" s="347" t="str">
        <f>IFERROR(IF(J6= 0, "", ((Table19[[#This Row],[Known escapes ('# animals)]]/((Table19[[#This Row],[Stocking count 
('# animals)]])))*100)),"0")</f>
        <v/>
      </c>
    </row>
    <row r="7" spans="3:13" x14ac:dyDescent="0.4">
      <c r="C7" s="28"/>
      <c r="D7" s="29"/>
      <c r="E7" s="162"/>
      <c r="F7" s="37"/>
      <c r="G7" s="31"/>
      <c r="H7" s="29"/>
      <c r="J7" s="333">
        <f>'Dropdown tables - Production'!G5</f>
        <v>0</v>
      </c>
      <c r="K7" s="334" t="str">
        <f>IF(IF(J7=0, "", SUMIFS(Table126[Stocking count 
('# animals)],Table126[Species in production (Latin name) (select)],Table19[[#This Row],[Species in production]]))=0, "0",IF(J7=0, "", SUMIFS(Table126[Stocking count 
('# animals)],Table126[Species in production (Latin name) (select)],Table19[[#This Row],[Species in production]])))</f>
        <v/>
      </c>
      <c r="L7" s="334" t="str">
        <f>IF(IF(J7=0, "", SUMIFS(Table2[Number of escapees ('# animals)],Table2[Species in production (latin name) (select)],Table19[[#This Row],[Species in production]]))=0, "0",IF(J7=0, "", SUMIFS(Table2[Number of escapees ('# animals)],Table2[Species in production (latin name) (select)],Table19[[#This Row],[Species in production]])))</f>
        <v/>
      </c>
      <c r="M7" s="347" t="str">
        <f>IFERROR(IF(J7= 0, "", ((Table19[[#This Row],[Known escapes ('# animals)]]/((Table19[[#This Row],[Stocking count 
('# animals)]])))*100)),"0")</f>
        <v/>
      </c>
    </row>
    <row r="8" spans="3:13" x14ac:dyDescent="0.4">
      <c r="C8" s="28"/>
      <c r="D8" s="29"/>
      <c r="E8" s="162"/>
      <c r="F8" s="37"/>
      <c r="G8" s="31"/>
      <c r="H8" s="29"/>
      <c r="J8" s="333">
        <f>'Dropdown tables - Production'!G6</f>
        <v>0</v>
      </c>
      <c r="K8" s="334" t="str">
        <f>IF(IF(J8=0, "", SUMIFS(Table126[Stocking count 
('# animals)],Table126[Species in production (Latin name) (select)],Table19[[#This Row],[Species in production]]))=0, "0",IF(J8=0, "", SUMIFS(Table126[Stocking count 
('# animals)],Table126[Species in production (Latin name) (select)],Table19[[#This Row],[Species in production]])))</f>
        <v/>
      </c>
      <c r="L8" s="334" t="str">
        <f>IF(IF(J8=0, "", SUMIFS(Table2[Number of escapees ('# animals)],Table2[Species in production (latin name) (select)],Table19[[#This Row],[Species in production]]))=0, "0",IF(J8=0, "", SUMIFS(Table2[Number of escapees ('# animals)],Table2[Species in production (latin name) (select)],Table19[[#This Row],[Species in production]])))</f>
        <v/>
      </c>
      <c r="M8" s="347" t="str">
        <f>IFERROR(IF(J8= 0, "", ((Table19[[#This Row],[Known escapes ('# animals)]]/((Table19[[#This Row],[Stocking count 
('# animals)]])))*100)),"0")</f>
        <v/>
      </c>
    </row>
    <row r="9" spans="3:13" x14ac:dyDescent="0.4">
      <c r="C9" s="28"/>
      <c r="D9" s="29"/>
      <c r="E9" s="162"/>
      <c r="F9" s="37"/>
      <c r="G9" s="31"/>
      <c r="H9" s="29"/>
      <c r="J9" s="333">
        <f>'Dropdown tables - Production'!G7</f>
        <v>0</v>
      </c>
      <c r="K9" s="334" t="str">
        <f>IF(IF(J9=0, "", SUMIFS(Table126[Stocking count 
('# animals)],Table126[Species in production (Latin name) (select)],Table19[[#This Row],[Species in production]]))=0, "0",IF(J9=0, "", SUMIFS(Table126[Stocking count 
('# animals)],Table126[Species in production (Latin name) (select)],Table19[[#This Row],[Species in production]])))</f>
        <v/>
      </c>
      <c r="L9" s="334" t="str">
        <f>IF(IF(J9=0, "", SUMIFS(Table2[Number of escapees ('# animals)],Table2[Species in production (latin name) (select)],Table19[[#This Row],[Species in production]]))=0, "0",IF(J9=0, "", SUMIFS(Table2[Number of escapees ('# animals)],Table2[Species in production (latin name) (select)],Table19[[#This Row],[Species in production]])))</f>
        <v/>
      </c>
      <c r="M9" s="347" t="str">
        <f>IFERROR(IF(J9= 0, "", ((Table19[[#This Row],[Known escapes ('# animals)]]/((Table19[[#This Row],[Stocking count 
('# animals)]])))*100)),"0")</f>
        <v/>
      </c>
    </row>
    <row r="10" spans="3:13" x14ac:dyDescent="0.4">
      <c r="C10" s="28"/>
      <c r="D10" s="29"/>
      <c r="E10" s="162"/>
      <c r="F10" s="37"/>
      <c r="G10" s="31"/>
      <c r="H10" s="29"/>
    </row>
    <row r="11" spans="3:13" x14ac:dyDescent="0.4">
      <c r="C11" s="28"/>
      <c r="D11" s="29"/>
      <c r="E11" s="162"/>
      <c r="F11" s="37"/>
      <c r="G11" s="31"/>
      <c r="H11" s="29"/>
    </row>
    <row r="12" spans="3:13" x14ac:dyDescent="0.4">
      <c r="C12" s="28"/>
      <c r="D12" s="29"/>
      <c r="E12" s="162"/>
      <c r="F12" s="37"/>
      <c r="G12" s="31"/>
      <c r="H12" s="29"/>
    </row>
    <row r="13" spans="3:13" x14ac:dyDescent="0.4">
      <c r="C13" s="28"/>
      <c r="D13" s="29"/>
      <c r="E13" s="162"/>
      <c r="F13" s="37"/>
      <c r="G13" s="31"/>
      <c r="H13" s="29"/>
    </row>
    <row r="14" spans="3:13" x14ac:dyDescent="0.4">
      <c r="C14" s="28"/>
      <c r="D14" s="29"/>
      <c r="E14" s="162"/>
      <c r="F14" s="37"/>
      <c r="G14" s="31"/>
      <c r="H14" s="29"/>
    </row>
    <row r="15" spans="3:13" x14ac:dyDescent="0.4">
      <c r="C15" s="28"/>
      <c r="D15" s="29"/>
      <c r="E15" s="162"/>
      <c r="F15" s="37"/>
      <c r="G15" s="31"/>
      <c r="H15" s="29"/>
    </row>
    <row r="16" spans="3:13" x14ac:dyDescent="0.4">
      <c r="C16" s="28"/>
      <c r="D16" s="29"/>
      <c r="E16" s="162"/>
      <c r="F16" s="37"/>
      <c r="G16" s="31"/>
      <c r="H16" s="29"/>
    </row>
    <row r="17" spans="3:11" x14ac:dyDescent="0.4">
      <c r="C17" s="28"/>
      <c r="D17" s="29"/>
      <c r="E17" s="162"/>
      <c r="F17" s="37"/>
      <c r="G17" s="31"/>
      <c r="H17" s="29"/>
    </row>
    <row r="18" spans="3:11" x14ac:dyDescent="0.4">
      <c r="C18" s="28"/>
      <c r="D18" s="29"/>
      <c r="E18" s="162"/>
      <c r="F18" s="37"/>
      <c r="G18" s="31"/>
      <c r="H18" s="29"/>
    </row>
    <row r="19" spans="3:11" x14ac:dyDescent="0.4">
      <c r="C19" s="28"/>
      <c r="D19" s="29"/>
      <c r="E19" s="162"/>
      <c r="F19" s="37"/>
      <c r="G19" s="31"/>
      <c r="H19" s="29"/>
    </row>
    <row r="20" spans="3:11" x14ac:dyDescent="0.4">
      <c r="C20" s="28"/>
      <c r="D20" s="29"/>
      <c r="E20" s="162"/>
      <c r="F20" s="37"/>
      <c r="G20" s="31"/>
      <c r="H20" s="29"/>
    </row>
    <row r="21" spans="3:11" x14ac:dyDescent="0.4">
      <c r="C21" s="28"/>
      <c r="D21" s="29"/>
      <c r="E21" s="162"/>
      <c r="F21" s="37"/>
      <c r="G21" s="31"/>
      <c r="H21" s="29"/>
    </row>
    <row r="22" spans="3:11" x14ac:dyDescent="0.4">
      <c r="C22" s="28"/>
      <c r="D22" s="29"/>
      <c r="E22" s="162"/>
      <c r="F22" s="37"/>
      <c r="G22" s="31"/>
      <c r="H22" s="29"/>
    </row>
    <row r="23" spans="3:11" x14ac:dyDescent="0.4">
      <c r="C23" s="28"/>
      <c r="D23" s="29"/>
      <c r="E23" s="162"/>
      <c r="F23" s="37"/>
      <c r="G23" s="31"/>
      <c r="H23" s="29"/>
    </row>
    <row r="24" spans="3:11" x14ac:dyDescent="0.4">
      <c r="C24" s="28"/>
      <c r="D24" s="29"/>
      <c r="E24" s="162"/>
      <c r="F24" s="37"/>
      <c r="G24" s="31"/>
      <c r="H24" s="29"/>
    </row>
    <row r="25" spans="3:11" x14ac:dyDescent="0.4">
      <c r="C25" s="28"/>
      <c r="D25" s="29"/>
      <c r="E25" s="162"/>
      <c r="F25" s="37"/>
      <c r="G25" s="31"/>
      <c r="H25" s="29"/>
    </row>
    <row r="26" spans="3:11" x14ac:dyDescent="0.4">
      <c r="C26" s="28"/>
      <c r="D26" s="29"/>
      <c r="E26" s="162"/>
      <c r="F26" s="37"/>
      <c r="G26" s="31"/>
      <c r="H26" s="29"/>
    </row>
    <row r="27" spans="3:11" x14ac:dyDescent="0.4">
      <c r="C27" s="28"/>
      <c r="D27" s="29"/>
      <c r="E27" s="162"/>
      <c r="F27" s="37"/>
      <c r="G27" s="31"/>
      <c r="H27" s="29"/>
      <c r="K27" s="17"/>
    </row>
    <row r="28" spans="3:11" x14ac:dyDescent="0.4">
      <c r="C28" s="28"/>
      <c r="D28" s="29"/>
      <c r="E28" s="162"/>
      <c r="F28" s="37"/>
      <c r="G28" s="31"/>
      <c r="H28" s="29"/>
    </row>
    <row r="29" spans="3:11" x14ac:dyDescent="0.4">
      <c r="C29" s="28"/>
      <c r="D29" s="29"/>
      <c r="E29" s="162"/>
      <c r="F29" s="37"/>
      <c r="G29" s="31"/>
      <c r="H29" s="29"/>
    </row>
    <row r="30" spans="3:11" x14ac:dyDescent="0.4">
      <c r="C30" s="28"/>
      <c r="D30" s="29"/>
      <c r="E30" s="162"/>
      <c r="F30" s="37"/>
      <c r="G30" s="31"/>
      <c r="H30" s="29"/>
    </row>
    <row r="31" spans="3:11" x14ac:dyDescent="0.4">
      <c r="C31" s="28"/>
      <c r="D31" s="29"/>
      <c r="E31" s="162"/>
      <c r="F31" s="37"/>
      <c r="G31" s="31"/>
      <c r="H31" s="29"/>
    </row>
    <row r="32" spans="3:11" x14ac:dyDescent="0.4">
      <c r="C32" s="28"/>
      <c r="D32" s="29"/>
      <c r="E32" s="162"/>
      <c r="F32" s="37"/>
      <c r="G32" s="31"/>
      <c r="H32" s="29"/>
    </row>
    <row r="33" spans="3:8" x14ac:dyDescent="0.4">
      <c r="C33" s="28"/>
      <c r="D33" s="29"/>
      <c r="E33" s="162"/>
      <c r="F33" s="37"/>
      <c r="G33" s="31"/>
      <c r="H33" s="29"/>
    </row>
    <row r="34" spans="3:8" x14ac:dyDescent="0.4">
      <c r="C34" s="28"/>
      <c r="D34" s="29"/>
      <c r="E34" s="162"/>
      <c r="F34" s="37"/>
      <c r="G34" s="31"/>
      <c r="H34" s="29"/>
    </row>
    <row r="35" spans="3:8" x14ac:dyDescent="0.4">
      <c r="C35" s="28"/>
      <c r="D35" s="29"/>
      <c r="E35" s="162"/>
      <c r="F35" s="37"/>
      <c r="G35" s="31"/>
      <c r="H35" s="29"/>
    </row>
    <row r="36" spans="3:8" x14ac:dyDescent="0.4">
      <c r="C36" s="28"/>
      <c r="D36" s="29"/>
      <c r="E36" s="162"/>
      <c r="F36" s="37"/>
      <c r="G36" s="31"/>
      <c r="H36" s="29"/>
    </row>
    <row r="37" spans="3:8" x14ac:dyDescent="0.4">
      <c r="C37" s="28"/>
      <c r="D37" s="29"/>
      <c r="E37" s="162"/>
      <c r="F37" s="37"/>
      <c r="G37" s="31"/>
      <c r="H37" s="29"/>
    </row>
    <row r="38" spans="3:8" x14ac:dyDescent="0.4">
      <c r="C38" s="28"/>
      <c r="D38" s="29"/>
      <c r="E38" s="162"/>
      <c r="F38" s="37"/>
      <c r="G38" s="31"/>
      <c r="H38" s="29"/>
    </row>
    <row r="39" spans="3:8" x14ac:dyDescent="0.4">
      <c r="C39" s="28"/>
      <c r="D39" s="29"/>
      <c r="E39" s="162"/>
      <c r="F39" s="37"/>
      <c r="G39" s="31"/>
      <c r="H39" s="29"/>
    </row>
    <row r="40" spans="3:8" x14ac:dyDescent="0.4">
      <c r="C40" s="28"/>
      <c r="D40" s="29"/>
      <c r="E40" s="162"/>
      <c r="F40" s="37"/>
      <c r="G40" s="31"/>
      <c r="H40" s="29"/>
    </row>
    <row r="41" spans="3:8" x14ac:dyDescent="0.4">
      <c r="C41" s="28"/>
      <c r="D41" s="29"/>
      <c r="E41" s="162"/>
      <c r="F41" s="37"/>
      <c r="G41" s="31"/>
      <c r="H41" s="29"/>
    </row>
    <row r="42" spans="3:8" x14ac:dyDescent="0.4">
      <c r="C42" s="28"/>
      <c r="D42" s="29"/>
      <c r="E42" s="162"/>
      <c r="F42" s="37"/>
      <c r="G42" s="31"/>
      <c r="H42" s="29"/>
    </row>
    <row r="43" spans="3:8" x14ac:dyDescent="0.4">
      <c r="C43" s="28"/>
      <c r="D43" s="29"/>
      <c r="E43" s="162"/>
      <c r="F43" s="37"/>
      <c r="G43" s="31"/>
      <c r="H43" s="29"/>
    </row>
    <row r="44" spans="3:8" x14ac:dyDescent="0.4">
      <c r="C44" s="28"/>
      <c r="D44" s="29"/>
      <c r="E44" s="162"/>
      <c r="F44" s="37"/>
      <c r="G44" s="31"/>
      <c r="H44" s="29"/>
    </row>
    <row r="45" spans="3:8" x14ac:dyDescent="0.4">
      <c r="C45" s="28"/>
      <c r="D45" s="29"/>
      <c r="E45" s="162"/>
      <c r="F45" s="37"/>
      <c r="G45" s="31"/>
      <c r="H45" s="29"/>
    </row>
    <row r="46" spans="3:8" x14ac:dyDescent="0.4">
      <c r="C46" s="28"/>
      <c r="D46" s="29"/>
      <c r="E46" s="162"/>
      <c r="F46" s="37"/>
      <c r="G46" s="31"/>
      <c r="H46" s="29"/>
    </row>
    <row r="47" spans="3:8" x14ac:dyDescent="0.4">
      <c r="C47" s="28"/>
      <c r="D47" s="29"/>
      <c r="E47" s="162"/>
      <c r="F47" s="37"/>
      <c r="G47" s="31"/>
      <c r="H47" s="29"/>
    </row>
    <row r="48" spans="3:8" x14ac:dyDescent="0.4">
      <c r="C48" s="28"/>
      <c r="D48" s="29"/>
      <c r="E48" s="162"/>
      <c r="F48" s="37"/>
      <c r="G48" s="31"/>
      <c r="H48" s="29"/>
    </row>
    <row r="49" spans="3:8" x14ac:dyDescent="0.4">
      <c r="C49" s="28"/>
      <c r="D49" s="29"/>
      <c r="E49" s="162"/>
      <c r="F49" s="37"/>
      <c r="G49" s="31"/>
      <c r="H49" s="29"/>
    </row>
    <row r="50" spans="3:8" x14ac:dyDescent="0.4">
      <c r="C50" s="28"/>
      <c r="D50" s="29"/>
      <c r="E50" s="162"/>
      <c r="F50" s="37"/>
      <c r="G50" s="31"/>
      <c r="H50" s="29"/>
    </row>
  </sheetData>
  <sheetProtection algorithmName="SHA-512" hashValue="mv5O49V0Lsa6bbN7vRFm4xqTYugplE2as+uYsZ8pI0vpwz6EW3xR+N2Wb9QD4xaSKVhdQ19afNHC+LoGwu61jA==" saltValue="JHrCRhBawuIeyljNF9E+0A==" spinCount="100000" sheet="1" objects="1" scenarios="1"/>
  <phoneticPr fontId="6" type="noConversion"/>
  <dataValidations count="2">
    <dataValidation type="whole" operator="greaterThanOrEqual" allowBlank="1" showInputMessage="1" showErrorMessage="1" sqref="F5:F50" xr:uid="{2B5B223F-82F1-4368-97C5-972EEB278B54}">
      <formula1>0</formula1>
    </dataValidation>
    <dataValidation type="date" allowBlank="1" showInputMessage="1" showErrorMessage="1" sqref="E5:E50" xr:uid="{17443B93-5869-4A3C-8A3F-8737E3A8728D}">
      <formula1>36526</formula1>
      <formula2>73051</formula2>
    </dataValidation>
  </dataValidations>
  <pageMargins left="0.7" right="0.7" top="0.75" bottom="0.75" header="0.3" footer="0.3"/>
  <drawing r:id="rId1"/>
  <tableParts count="2">
    <tablePart r:id="rId2"/>
    <tablePart r:id="rId3"/>
  </tableParts>
  <extLst>
    <ext xmlns:x14="http://schemas.microsoft.com/office/spreadsheetml/2009/9/main" uri="{CCE6A557-97BC-4b89-ADB6-D9C93CAAB3DF}">
      <x14:dataValidations xmlns:xm="http://schemas.microsoft.com/office/excel/2006/main" count="3">
        <x14:dataValidation type="list" allowBlank="1" showInputMessage="1" showErrorMessage="1" xr:uid="{463A7F50-8E11-4E60-8F15-B7DC72817668}">
          <x14:formula1>
            <xm:f>'Dropdown tables - Production'!$C$2:$C$77</xm:f>
          </x14:formula1>
          <xm:sqref>C5:C50</xm:sqref>
        </x14:dataValidation>
        <x14:dataValidation type="list" allowBlank="1" showInputMessage="1" showErrorMessage="1" xr:uid="{A7A17A48-A8CE-4A24-832E-1010A3B6822C}">
          <x14:formula1>
            <xm:f>'Dropdown tables - Production'!$D$2:$D$77</xm:f>
          </x14:formula1>
          <xm:sqref>D5:D50</xm:sqref>
        </x14:dataValidation>
        <x14:dataValidation type="list" allowBlank="1" showInputMessage="1" xr:uid="{41711CA4-4D9C-4466-A51E-7825BABF8F91}">
          <x14:formula1>
            <xm:f>'Dropdown tables - Production'!$P$2:$P$8</xm:f>
          </x14:formula1>
          <xm:sqref>G5:G50</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B08CFE-6C84-4153-9A46-336CAD03749B}">
  <sheetPr codeName="Sheet25">
    <tabColor theme="9" tint="0.59999389629810485"/>
  </sheetPr>
  <dimension ref="A2:BA1300"/>
  <sheetViews>
    <sheetView zoomScale="80" zoomScaleNormal="80" workbookViewId="0"/>
  </sheetViews>
  <sheetFormatPr defaultColWidth="9" defaultRowHeight="16.8" x14ac:dyDescent="0.4"/>
  <cols>
    <col min="1" max="1" width="9" style="15"/>
    <col min="2" max="2" width="0" style="15" hidden="1" customWidth="1"/>
    <col min="3" max="3" width="13.44140625" style="15" hidden="1" customWidth="1"/>
    <col min="4" max="4" width="17.21875" style="15" customWidth="1"/>
    <col min="5" max="5" width="28" style="15" bestFit="1" customWidth="1"/>
    <col min="6" max="6" width="23.77734375" style="15" bestFit="1" customWidth="1"/>
    <col min="7" max="7" width="22.21875" style="15" bestFit="1" customWidth="1"/>
    <col min="8" max="8" width="22.44140625" style="15" bestFit="1" customWidth="1"/>
    <col min="9" max="10" width="14.21875" style="15" bestFit="1" customWidth="1"/>
    <col min="11" max="11" width="17.21875" style="15" customWidth="1"/>
    <col min="12" max="26" width="9" style="15" customWidth="1"/>
    <col min="27" max="27" width="39.21875" style="15" hidden="1" customWidth="1"/>
    <col min="28" max="28" width="29" style="15" hidden="1" customWidth="1"/>
    <col min="29" max="29" width="30.77734375" style="15" hidden="1" customWidth="1"/>
    <col min="30" max="30" width="41" style="15" hidden="1" customWidth="1"/>
    <col min="31" max="38" width="9" style="15" hidden="1" customWidth="1"/>
    <col min="39" max="69" width="9" style="15" customWidth="1"/>
    <col min="70" max="16384" width="9" style="15"/>
  </cols>
  <sheetData>
    <row r="2" spans="1:53" x14ac:dyDescent="0.4">
      <c r="D2" s="18" t="s">
        <v>1923</v>
      </c>
      <c r="G2" s="40"/>
      <c r="S2" s="18"/>
      <c r="X2" s="20"/>
      <c r="AA2" s="18" t="s">
        <v>75</v>
      </c>
      <c r="AB2" s="32"/>
      <c r="AC2" s="32"/>
      <c r="AD2" s="32"/>
      <c r="AE2" s="32"/>
      <c r="AF2" s="32"/>
      <c r="AG2" s="18" t="s">
        <v>76</v>
      </c>
    </row>
    <row r="3" spans="1:53" hidden="1" x14ac:dyDescent="0.4">
      <c r="C3" s="15">
        <v>4.0999999999999996</v>
      </c>
      <c r="D3" s="15">
        <v>4.2</v>
      </c>
      <c r="E3" s="15">
        <v>4.3</v>
      </c>
      <c r="F3" s="15">
        <v>4.4000000000000004</v>
      </c>
      <c r="G3" s="15">
        <v>4.5</v>
      </c>
      <c r="H3" s="15">
        <v>4.5999999999999996</v>
      </c>
      <c r="I3" s="15">
        <v>4.7</v>
      </c>
      <c r="J3" s="15">
        <v>4.8</v>
      </c>
      <c r="K3" s="15">
        <v>4.9000000000000004</v>
      </c>
      <c r="AF3" s="32"/>
      <c r="AH3" s="20"/>
    </row>
    <row r="4" spans="1:53" s="24" customFormat="1" ht="34.200000000000003" thickBot="1" x14ac:dyDescent="0.45">
      <c r="C4" s="59" t="s">
        <v>44</v>
      </c>
      <c r="D4" s="58" t="s">
        <v>77</v>
      </c>
      <c r="E4" s="58" t="s">
        <v>78</v>
      </c>
      <c r="F4" s="91" t="s">
        <v>79</v>
      </c>
      <c r="G4" s="59" t="s">
        <v>80</v>
      </c>
      <c r="H4" s="254" t="s">
        <v>81</v>
      </c>
      <c r="I4" s="61" t="s">
        <v>82</v>
      </c>
      <c r="J4" s="61" t="s">
        <v>83</v>
      </c>
      <c r="K4" s="60" t="s">
        <v>56</v>
      </c>
      <c r="L4" s="15"/>
      <c r="AA4" s="81" t="s">
        <v>84</v>
      </c>
      <c r="AB4" s="82" t="s">
        <v>85</v>
      </c>
      <c r="AC4" s="82" t="s">
        <v>86</v>
      </c>
      <c r="AD4" s="82" t="s">
        <v>87</v>
      </c>
      <c r="AE4" s="83" t="s">
        <v>56</v>
      </c>
      <c r="AF4" s="32"/>
      <c r="AG4" s="65" t="s">
        <v>88</v>
      </c>
      <c r="AH4" s="15" t="s">
        <v>89</v>
      </c>
      <c r="AI4" s="15" t="s">
        <v>90</v>
      </c>
      <c r="AJ4" s="15" t="s">
        <v>91</v>
      </c>
      <c r="AK4" s="66" t="s">
        <v>92</v>
      </c>
      <c r="BA4" s="15"/>
    </row>
    <row r="5" spans="1:53" ht="17.399999999999999" thickTop="1" x14ac:dyDescent="0.4">
      <c r="A5" s="84"/>
      <c r="C5" s="80">
        <f>'Site and production details'!C5</f>
        <v>0</v>
      </c>
      <c r="D5" s="153"/>
      <c r="E5" s="302" t="s">
        <v>93</v>
      </c>
      <c r="F5" s="303" t="s">
        <v>94</v>
      </c>
      <c r="G5" s="252" t="s">
        <v>95</v>
      </c>
      <c r="H5" s="258" t="s">
        <v>96</v>
      </c>
      <c r="I5" s="164"/>
      <c r="J5" s="164"/>
      <c r="K5" s="172"/>
      <c r="AA5" s="15" t="s">
        <v>97</v>
      </c>
      <c r="AB5" s="74">
        <v>100</v>
      </c>
      <c r="AC5" s="74">
        <v>1000000</v>
      </c>
      <c r="AD5" s="74" t="s">
        <v>98</v>
      </c>
      <c r="AE5" s="15" t="s">
        <v>99</v>
      </c>
      <c r="AF5" s="32"/>
      <c r="AG5" s="15" t="s">
        <v>100</v>
      </c>
      <c r="AH5" s="15" t="s">
        <v>101</v>
      </c>
      <c r="AI5" s="15" t="s">
        <v>101</v>
      </c>
      <c r="AJ5" s="15" t="s">
        <v>101</v>
      </c>
      <c r="AK5" s="15" t="s">
        <v>102</v>
      </c>
    </row>
    <row r="6" spans="1:53" x14ac:dyDescent="0.4">
      <c r="A6" s="84"/>
      <c r="C6" s="80">
        <f t="shared" ref="C6:C12" si="0">C5</f>
        <v>0</v>
      </c>
      <c r="D6" s="153"/>
      <c r="E6" s="300" t="str">
        <f>IF(E5 = "Select", "", E5)</f>
        <v/>
      </c>
      <c r="F6" s="304" t="s">
        <v>94</v>
      </c>
      <c r="G6" s="305" t="s">
        <v>103</v>
      </c>
      <c r="H6" s="259" t="s">
        <v>104</v>
      </c>
      <c r="I6" s="165"/>
      <c r="J6" s="165"/>
      <c r="K6" s="173"/>
      <c r="AA6" s="15" t="s">
        <v>97</v>
      </c>
      <c r="AB6" s="15">
        <v>0</v>
      </c>
      <c r="AC6" s="15">
        <v>100</v>
      </c>
      <c r="AD6" s="15" t="s">
        <v>105</v>
      </c>
      <c r="AF6" s="32"/>
      <c r="AG6" s="15" t="s">
        <v>100</v>
      </c>
      <c r="AH6" s="15" t="s">
        <v>101</v>
      </c>
      <c r="AI6" s="15" t="s">
        <v>101</v>
      </c>
      <c r="AJ6" s="15" t="s">
        <v>100</v>
      </c>
      <c r="AK6" s="15" t="s">
        <v>102</v>
      </c>
    </row>
    <row r="7" spans="1:53" x14ac:dyDescent="0.4">
      <c r="A7" s="84"/>
      <c r="C7" s="80">
        <f t="shared" si="0"/>
        <v>0</v>
      </c>
      <c r="D7" s="153"/>
      <c r="E7" s="300" t="str">
        <f>IF(E6 = "Select", "", E6)</f>
        <v/>
      </c>
      <c r="F7" s="306" t="s">
        <v>94</v>
      </c>
      <c r="G7" s="305" t="s">
        <v>106</v>
      </c>
      <c r="H7" s="260" t="s">
        <v>107</v>
      </c>
      <c r="I7" s="166"/>
      <c r="J7" s="166"/>
      <c r="K7" s="173"/>
      <c r="AA7" s="15" t="s">
        <v>97</v>
      </c>
      <c r="AB7" s="15">
        <v>-100</v>
      </c>
      <c r="AC7" s="15">
        <v>0</v>
      </c>
      <c r="AD7" s="15" t="s">
        <v>108</v>
      </c>
      <c r="AF7" s="32"/>
      <c r="AG7" s="15" t="s">
        <v>100</v>
      </c>
      <c r="AH7" s="15" t="s">
        <v>101</v>
      </c>
      <c r="AI7" s="15" t="s">
        <v>101</v>
      </c>
      <c r="AJ7" s="15" t="s">
        <v>108</v>
      </c>
      <c r="AK7" s="15" t="s">
        <v>102</v>
      </c>
    </row>
    <row r="8" spans="1:53" x14ac:dyDescent="0.4">
      <c r="A8" s="84"/>
      <c r="C8" s="80">
        <f t="shared" si="0"/>
        <v>0</v>
      </c>
      <c r="D8" s="153"/>
      <c r="E8" s="301" t="str">
        <f>IF(E7 = "Select", "", E7)</f>
        <v/>
      </c>
      <c r="F8" s="307" t="s">
        <v>94</v>
      </c>
      <c r="G8" s="253" t="s">
        <v>109</v>
      </c>
      <c r="H8" s="261" t="s">
        <v>110</v>
      </c>
      <c r="I8" s="167"/>
      <c r="J8" s="167"/>
      <c r="K8" s="174"/>
      <c r="AA8" s="15" t="s">
        <v>97</v>
      </c>
      <c r="AB8" s="15">
        <v>-150</v>
      </c>
      <c r="AC8" s="15">
        <v>-100</v>
      </c>
      <c r="AD8" s="15" t="s">
        <v>100</v>
      </c>
      <c r="AF8" s="32"/>
      <c r="AG8" s="15" t="s">
        <v>100</v>
      </c>
      <c r="AH8" s="15" t="s">
        <v>101</v>
      </c>
      <c r="AI8" s="15" t="s">
        <v>101</v>
      </c>
      <c r="AJ8" s="15" t="s">
        <v>105</v>
      </c>
      <c r="AK8" s="15" t="s">
        <v>102</v>
      </c>
    </row>
    <row r="9" spans="1:53" x14ac:dyDescent="0.4">
      <c r="A9" s="84"/>
      <c r="C9" s="80">
        <f t="shared" si="0"/>
        <v>0</v>
      </c>
      <c r="D9" s="153"/>
      <c r="E9" s="113" t="s">
        <v>97</v>
      </c>
      <c r="F9" s="303" t="s">
        <v>94</v>
      </c>
      <c r="G9" s="252" t="s">
        <v>95</v>
      </c>
      <c r="H9" s="258" t="str">
        <f>H5</f>
        <v>0-30</v>
      </c>
      <c r="I9" s="168"/>
      <c r="J9" s="168"/>
      <c r="K9" s="175"/>
      <c r="T9" s="20"/>
      <c r="U9" s="20"/>
      <c r="V9" s="20"/>
      <c r="W9" s="20"/>
      <c r="AA9" s="15" t="s">
        <v>97</v>
      </c>
      <c r="AB9" s="15">
        <v>-10000000</v>
      </c>
      <c r="AC9" s="15">
        <v>-150</v>
      </c>
      <c r="AD9" s="15" t="s">
        <v>101</v>
      </c>
      <c r="AE9" s="15" t="s">
        <v>111</v>
      </c>
      <c r="AF9" s="32"/>
      <c r="AG9" s="15" t="s">
        <v>100</v>
      </c>
      <c r="AH9" s="15" t="s">
        <v>101</v>
      </c>
      <c r="AI9" s="15" t="s">
        <v>101</v>
      </c>
      <c r="AJ9" s="57" t="s">
        <v>112</v>
      </c>
      <c r="AK9" s="15" t="s">
        <v>102</v>
      </c>
    </row>
    <row r="10" spans="1:53" x14ac:dyDescent="0.4">
      <c r="A10" s="84"/>
      <c r="C10" s="80">
        <f t="shared" si="0"/>
        <v>0</v>
      </c>
      <c r="D10" s="153"/>
      <c r="E10" s="114" t="s">
        <v>97</v>
      </c>
      <c r="F10" s="304" t="s">
        <v>94</v>
      </c>
      <c r="G10" s="305" t="s">
        <v>103</v>
      </c>
      <c r="H10" s="259" t="str">
        <f>H6</f>
        <v>31-100</v>
      </c>
      <c r="I10" s="169"/>
      <c r="J10" s="169"/>
      <c r="K10" s="176"/>
      <c r="T10" s="20"/>
      <c r="AA10" s="15" t="s">
        <v>113</v>
      </c>
      <c r="AB10" s="21">
        <v>0</v>
      </c>
      <c r="AC10" s="21">
        <v>75.000010000000003</v>
      </c>
      <c r="AD10" s="15" t="s">
        <v>98</v>
      </c>
      <c r="AF10" s="32"/>
      <c r="AG10" s="15" t="s">
        <v>100</v>
      </c>
      <c r="AH10" s="15" t="s">
        <v>101</v>
      </c>
      <c r="AI10" s="15" t="s">
        <v>101</v>
      </c>
      <c r="AJ10" s="15" t="s">
        <v>98</v>
      </c>
      <c r="AK10" s="15" t="s">
        <v>102</v>
      </c>
    </row>
    <row r="11" spans="1:53" x14ac:dyDescent="0.4">
      <c r="A11" s="84"/>
      <c r="C11" s="80">
        <f t="shared" si="0"/>
        <v>0</v>
      </c>
      <c r="D11" s="153"/>
      <c r="E11" s="114" t="s">
        <v>97</v>
      </c>
      <c r="F11" s="306" t="s">
        <v>94</v>
      </c>
      <c r="G11" s="305" t="s">
        <v>106</v>
      </c>
      <c r="H11" s="260" t="str">
        <f>H7</f>
        <v>101-150</v>
      </c>
      <c r="I11" s="170"/>
      <c r="J11" s="170"/>
      <c r="K11" s="176"/>
      <c r="S11" s="20"/>
      <c r="T11" s="20"/>
      <c r="U11" s="20"/>
      <c r="V11" s="20"/>
      <c r="AA11" s="15" t="s">
        <v>113</v>
      </c>
      <c r="AB11" s="21">
        <v>75.000010000000003</v>
      </c>
      <c r="AC11" s="21">
        <v>250.00001</v>
      </c>
      <c r="AD11" s="15" t="s">
        <v>105</v>
      </c>
      <c r="AF11" s="32"/>
      <c r="AG11" s="15" t="s">
        <v>100</v>
      </c>
      <c r="AH11" s="15" t="s">
        <v>101</v>
      </c>
      <c r="AI11" s="15" t="s">
        <v>100</v>
      </c>
      <c r="AJ11" s="15" t="s">
        <v>101</v>
      </c>
      <c r="AK11" s="15" t="s">
        <v>102</v>
      </c>
    </row>
    <row r="12" spans="1:53" x14ac:dyDescent="0.4">
      <c r="A12" s="84"/>
      <c r="C12" s="80">
        <f t="shared" si="0"/>
        <v>0</v>
      </c>
      <c r="D12" s="153"/>
      <c r="E12" s="115" t="s">
        <v>97</v>
      </c>
      <c r="F12" s="307" t="s">
        <v>94</v>
      </c>
      <c r="G12" s="253" t="s">
        <v>109</v>
      </c>
      <c r="H12" s="261" t="str">
        <f>H8</f>
        <v>500+</v>
      </c>
      <c r="I12" s="171"/>
      <c r="J12" s="171"/>
      <c r="K12" s="177"/>
      <c r="S12" s="20"/>
      <c r="U12" s="20"/>
      <c r="V12" s="20"/>
      <c r="AA12" s="15" t="s">
        <v>113</v>
      </c>
      <c r="AB12" s="21">
        <v>250.00001</v>
      </c>
      <c r="AC12" s="21">
        <v>500.00000999999997</v>
      </c>
      <c r="AD12" s="15" t="s">
        <v>108</v>
      </c>
      <c r="AF12" s="32"/>
      <c r="AG12" s="15" t="s">
        <v>100</v>
      </c>
      <c r="AH12" s="15" t="s">
        <v>101</v>
      </c>
      <c r="AI12" s="15" t="s">
        <v>100</v>
      </c>
      <c r="AJ12" s="15" t="s">
        <v>100</v>
      </c>
      <c r="AK12" s="15" t="s">
        <v>102</v>
      </c>
    </row>
    <row r="13" spans="1:53" x14ac:dyDescent="0.4">
      <c r="A13" s="84"/>
      <c r="T13" s="20"/>
      <c r="U13" s="20"/>
      <c r="V13" s="20"/>
      <c r="AA13" s="15" t="s">
        <v>113</v>
      </c>
      <c r="AB13" s="21">
        <v>500.00000999999997</v>
      </c>
      <c r="AC13" s="21">
        <v>1100.00001</v>
      </c>
      <c r="AD13" s="15" t="s">
        <v>100</v>
      </c>
      <c r="AF13" s="32"/>
      <c r="AG13" s="15" t="s">
        <v>100</v>
      </c>
      <c r="AH13" s="15" t="s">
        <v>101</v>
      </c>
      <c r="AI13" s="15" t="s">
        <v>100</v>
      </c>
      <c r="AJ13" s="15" t="s">
        <v>108</v>
      </c>
      <c r="AK13" s="15" t="s">
        <v>102</v>
      </c>
    </row>
    <row r="14" spans="1:53" x14ac:dyDescent="0.4">
      <c r="A14" s="84"/>
      <c r="D14" s="18" t="s">
        <v>1924</v>
      </c>
      <c r="T14" s="20"/>
      <c r="U14" s="20"/>
      <c r="V14" s="20"/>
      <c r="AA14" s="15" t="s">
        <v>113</v>
      </c>
      <c r="AB14" s="21">
        <v>1100.00001</v>
      </c>
      <c r="AC14" s="21">
        <v>1000000</v>
      </c>
      <c r="AD14" s="15" t="s">
        <v>101</v>
      </c>
      <c r="AE14" s="15" t="s">
        <v>99</v>
      </c>
      <c r="AF14" s="32"/>
      <c r="AG14" s="15" t="s">
        <v>100</v>
      </c>
      <c r="AH14" s="15" t="s">
        <v>101</v>
      </c>
      <c r="AI14" s="15" t="s">
        <v>100</v>
      </c>
      <c r="AJ14" s="15" t="s">
        <v>105</v>
      </c>
      <c r="AK14" s="15" t="s">
        <v>102</v>
      </c>
    </row>
    <row r="15" spans="1:53" hidden="1" x14ac:dyDescent="0.4">
      <c r="A15" s="84"/>
      <c r="C15" s="15">
        <v>4.1100000000000003</v>
      </c>
      <c r="D15" s="15">
        <v>4.12</v>
      </c>
      <c r="E15" s="15">
        <v>4.13</v>
      </c>
      <c r="F15" s="15">
        <v>4.1399999999999997</v>
      </c>
      <c r="G15" s="15">
        <v>4.1500000000000004</v>
      </c>
      <c r="H15" s="15">
        <v>4.16</v>
      </c>
      <c r="I15" s="15">
        <v>4.17</v>
      </c>
      <c r="J15" s="15">
        <v>4.18</v>
      </c>
      <c r="K15" s="15">
        <v>4.1900000000000004</v>
      </c>
      <c r="T15" s="20"/>
      <c r="U15" s="20"/>
      <c r="V15" s="20"/>
      <c r="AA15" s="15" t="s">
        <v>114</v>
      </c>
      <c r="AB15" s="21">
        <v>0</v>
      </c>
      <c r="AC15" s="105">
        <v>750.00000999999997</v>
      </c>
      <c r="AD15" s="74" t="s">
        <v>98</v>
      </c>
      <c r="AE15" s="15" t="s">
        <v>111</v>
      </c>
      <c r="AF15" s="32"/>
      <c r="AG15" s="15" t="s">
        <v>100</v>
      </c>
      <c r="AH15" s="15" t="s">
        <v>101</v>
      </c>
      <c r="AI15" s="15" t="s">
        <v>100</v>
      </c>
      <c r="AJ15" s="57" t="s">
        <v>112</v>
      </c>
      <c r="AK15" s="15" t="s">
        <v>102</v>
      </c>
    </row>
    <row r="16" spans="1:53" ht="34.200000000000003" thickBot="1" x14ac:dyDescent="0.45">
      <c r="A16" s="84"/>
      <c r="C16" s="251" t="s">
        <v>44</v>
      </c>
      <c r="D16" s="58" t="s">
        <v>77</v>
      </c>
      <c r="E16" s="59" t="s">
        <v>115</v>
      </c>
      <c r="F16" s="91" t="s">
        <v>79</v>
      </c>
      <c r="G16" s="128" t="s">
        <v>80</v>
      </c>
      <c r="H16" s="91" t="s">
        <v>81</v>
      </c>
      <c r="I16" s="91" t="s">
        <v>82</v>
      </c>
      <c r="J16" s="91" t="s">
        <v>83</v>
      </c>
      <c r="K16" s="107" t="s">
        <v>56</v>
      </c>
      <c r="T16" s="20"/>
      <c r="U16" s="20"/>
      <c r="V16" s="20"/>
      <c r="AA16" s="15" t="s">
        <v>114</v>
      </c>
      <c r="AB16" s="21">
        <v>750.00000999999997</v>
      </c>
      <c r="AC16" s="21">
        <v>1500.00001</v>
      </c>
      <c r="AD16" s="15" t="s">
        <v>105</v>
      </c>
      <c r="AG16" s="15" t="s">
        <v>100</v>
      </c>
      <c r="AH16" s="15" t="s">
        <v>101</v>
      </c>
      <c r="AI16" s="15" t="s">
        <v>100</v>
      </c>
      <c r="AJ16" s="15" t="s">
        <v>98</v>
      </c>
      <c r="AK16" s="15" t="s">
        <v>102</v>
      </c>
    </row>
    <row r="17" spans="1:37" ht="17.399999999999999" thickTop="1" x14ac:dyDescent="0.4">
      <c r="A17" s="84"/>
      <c r="C17" s="80">
        <f t="shared" ref="C17" si="1">C5</f>
        <v>0</v>
      </c>
      <c r="D17" s="187"/>
      <c r="E17" s="299" t="str">
        <f>IF(E5 = "Select", "", E5)</f>
        <v/>
      </c>
      <c r="F17" s="303" t="s">
        <v>116</v>
      </c>
      <c r="G17" s="126" t="s">
        <v>95</v>
      </c>
      <c r="H17" s="262" t="str">
        <f t="shared" ref="H17:H24" si="2">H5</f>
        <v>0-30</v>
      </c>
      <c r="I17" s="164"/>
      <c r="J17" s="164"/>
      <c r="K17" s="181"/>
      <c r="S17" s="20"/>
      <c r="T17" s="20"/>
      <c r="U17" s="20"/>
      <c r="V17" s="20"/>
      <c r="AA17" s="15" t="s">
        <v>114</v>
      </c>
      <c r="AB17" s="21">
        <v>1500.00001</v>
      </c>
      <c r="AC17" s="21">
        <v>3000.0000100000002</v>
      </c>
      <c r="AD17" s="15" t="s">
        <v>108</v>
      </c>
      <c r="AG17" s="15" t="s">
        <v>100</v>
      </c>
      <c r="AH17" s="15" t="s">
        <v>101</v>
      </c>
      <c r="AI17" s="15" t="s">
        <v>108</v>
      </c>
      <c r="AJ17" s="15" t="s">
        <v>101</v>
      </c>
      <c r="AK17" s="15" t="s">
        <v>102</v>
      </c>
    </row>
    <row r="18" spans="1:37" x14ac:dyDescent="0.4">
      <c r="A18" s="84"/>
      <c r="C18" s="80">
        <f>C17</f>
        <v>0</v>
      </c>
      <c r="D18" s="188"/>
      <c r="E18" s="300" t="str">
        <f t="shared" ref="E18:E28" si="3">E17</f>
        <v/>
      </c>
      <c r="F18" s="304" t="s">
        <v>116</v>
      </c>
      <c r="G18" s="123" t="s">
        <v>103</v>
      </c>
      <c r="H18" s="263" t="str">
        <f t="shared" si="2"/>
        <v>31-100</v>
      </c>
      <c r="I18" s="165"/>
      <c r="J18" s="165"/>
      <c r="K18" s="179"/>
      <c r="S18" s="20"/>
      <c r="AA18" s="15" t="s">
        <v>114</v>
      </c>
      <c r="AB18" s="21">
        <v>3000.0000100000002</v>
      </c>
      <c r="AC18" s="21">
        <v>6000.0000099999997</v>
      </c>
      <c r="AD18" s="15" t="s">
        <v>100</v>
      </c>
      <c r="AG18" s="15" t="s">
        <v>100</v>
      </c>
      <c r="AH18" s="15" t="s">
        <v>101</v>
      </c>
      <c r="AI18" s="15" t="s">
        <v>108</v>
      </c>
      <c r="AJ18" s="15" t="s">
        <v>100</v>
      </c>
      <c r="AK18" s="15" t="s">
        <v>102</v>
      </c>
    </row>
    <row r="19" spans="1:37" x14ac:dyDescent="0.4">
      <c r="A19" s="84"/>
      <c r="C19" s="80">
        <f>C18</f>
        <v>0</v>
      </c>
      <c r="D19" s="187"/>
      <c r="E19" s="300" t="str">
        <f t="shared" si="3"/>
        <v/>
      </c>
      <c r="F19" s="306" t="s">
        <v>116</v>
      </c>
      <c r="G19" s="123" t="s">
        <v>106</v>
      </c>
      <c r="H19" s="264" t="str">
        <f t="shared" si="2"/>
        <v>101-150</v>
      </c>
      <c r="I19" s="166"/>
      <c r="J19" s="166"/>
      <c r="K19" s="182"/>
      <c r="AA19" s="15" t="s">
        <v>114</v>
      </c>
      <c r="AB19" s="21">
        <v>6000.0000099999997</v>
      </c>
      <c r="AC19" s="21">
        <v>1000000</v>
      </c>
      <c r="AD19" s="15" t="s">
        <v>101</v>
      </c>
      <c r="AE19" s="15" t="s">
        <v>99</v>
      </c>
      <c r="AG19" s="15" t="s">
        <v>100</v>
      </c>
      <c r="AH19" s="15" t="s">
        <v>101</v>
      </c>
      <c r="AI19" s="15" t="s">
        <v>108</v>
      </c>
      <c r="AJ19" s="15" t="s">
        <v>108</v>
      </c>
      <c r="AK19" s="15" t="s">
        <v>102</v>
      </c>
    </row>
    <row r="20" spans="1:37" x14ac:dyDescent="0.4">
      <c r="A20" s="84"/>
      <c r="C20" s="80">
        <f t="shared" ref="C20:C40" si="4">C19</f>
        <v>0</v>
      </c>
      <c r="D20" s="188"/>
      <c r="E20" s="300" t="str">
        <f t="shared" si="3"/>
        <v/>
      </c>
      <c r="F20" s="307" t="s">
        <v>116</v>
      </c>
      <c r="G20" s="125" t="s">
        <v>109</v>
      </c>
      <c r="H20" s="265" t="str">
        <f t="shared" si="2"/>
        <v>500+</v>
      </c>
      <c r="I20" s="167"/>
      <c r="J20" s="167"/>
      <c r="K20" s="180"/>
      <c r="AG20" s="15" t="s">
        <v>100</v>
      </c>
      <c r="AH20" s="15" t="s">
        <v>101</v>
      </c>
      <c r="AI20" s="15" t="s">
        <v>108</v>
      </c>
      <c r="AJ20" s="15" t="s">
        <v>105</v>
      </c>
      <c r="AK20" s="15" t="s">
        <v>102</v>
      </c>
    </row>
    <row r="21" spans="1:37" x14ac:dyDescent="0.4">
      <c r="A21" s="84"/>
      <c r="C21" s="80">
        <f t="shared" si="4"/>
        <v>0</v>
      </c>
      <c r="D21" s="187"/>
      <c r="E21" s="300" t="str">
        <f t="shared" si="3"/>
        <v/>
      </c>
      <c r="F21" s="303" t="s">
        <v>117</v>
      </c>
      <c r="G21" s="126" t="s">
        <v>95</v>
      </c>
      <c r="H21" s="262" t="str">
        <f t="shared" si="2"/>
        <v>0-30</v>
      </c>
      <c r="I21" s="164"/>
      <c r="J21" s="164"/>
      <c r="K21" s="181"/>
      <c r="AA21" s="18" t="s">
        <v>118</v>
      </c>
      <c r="AG21" s="15" t="s">
        <v>100</v>
      </c>
      <c r="AH21" s="15" t="s">
        <v>101</v>
      </c>
      <c r="AI21" s="15" t="s">
        <v>108</v>
      </c>
      <c r="AJ21" s="57" t="s">
        <v>112</v>
      </c>
      <c r="AK21" s="15" t="s">
        <v>102</v>
      </c>
    </row>
    <row r="22" spans="1:37" x14ac:dyDescent="0.4">
      <c r="A22" s="84"/>
      <c r="C22" s="80">
        <f t="shared" si="4"/>
        <v>0</v>
      </c>
      <c r="D22" s="188"/>
      <c r="E22" s="300" t="str">
        <f t="shared" si="3"/>
        <v/>
      </c>
      <c r="F22" s="304" t="s">
        <v>117</v>
      </c>
      <c r="G22" s="123" t="s">
        <v>103</v>
      </c>
      <c r="H22" s="263" t="str">
        <f t="shared" si="2"/>
        <v>31-100</v>
      </c>
      <c r="I22" s="165"/>
      <c r="J22" s="165"/>
      <c r="K22" s="179"/>
      <c r="AG22" s="15" t="s">
        <v>100</v>
      </c>
      <c r="AH22" s="15" t="s">
        <v>101</v>
      </c>
      <c r="AI22" s="15" t="s">
        <v>108</v>
      </c>
      <c r="AJ22" s="15" t="s">
        <v>98</v>
      </c>
      <c r="AK22" s="15" t="s">
        <v>102</v>
      </c>
    </row>
    <row r="23" spans="1:37" x14ac:dyDescent="0.4">
      <c r="A23" s="84"/>
      <c r="C23" s="80">
        <f t="shared" si="4"/>
        <v>0</v>
      </c>
      <c r="D23" s="187"/>
      <c r="E23" s="300" t="str">
        <f t="shared" si="3"/>
        <v/>
      </c>
      <c r="F23" s="306" t="s">
        <v>117</v>
      </c>
      <c r="G23" s="123" t="s">
        <v>106</v>
      </c>
      <c r="H23" s="264" t="str">
        <f t="shared" si="2"/>
        <v>101-150</v>
      </c>
      <c r="I23" s="166"/>
      <c r="J23" s="166"/>
      <c r="K23" s="182"/>
      <c r="AA23" s="15" t="s">
        <v>87</v>
      </c>
      <c r="AB23" s="82" t="s">
        <v>119</v>
      </c>
      <c r="AC23" s="15" t="s">
        <v>120</v>
      </c>
      <c r="AD23" s="15" t="s">
        <v>121</v>
      </c>
      <c r="AE23" s="15" t="s">
        <v>56</v>
      </c>
      <c r="AG23" s="15" t="s">
        <v>100</v>
      </c>
      <c r="AH23" s="15" t="s">
        <v>101</v>
      </c>
      <c r="AI23" s="15" t="s">
        <v>105</v>
      </c>
      <c r="AJ23" s="15" t="s">
        <v>101</v>
      </c>
      <c r="AK23" s="15" t="s">
        <v>102</v>
      </c>
    </row>
    <row r="24" spans="1:37" x14ac:dyDescent="0.4">
      <c r="A24" s="84"/>
      <c r="C24" s="80">
        <f t="shared" si="4"/>
        <v>0</v>
      </c>
      <c r="D24" s="188"/>
      <c r="E24" s="300" t="str">
        <f t="shared" si="3"/>
        <v/>
      </c>
      <c r="F24" s="307" t="s">
        <v>117</v>
      </c>
      <c r="G24" s="125" t="s">
        <v>109</v>
      </c>
      <c r="H24" s="265" t="str">
        <f t="shared" si="2"/>
        <v>500+</v>
      </c>
      <c r="I24" s="167"/>
      <c r="J24" s="167"/>
      <c r="K24" s="180"/>
      <c r="AA24" s="15" t="s">
        <v>101</v>
      </c>
      <c r="AB24" s="15">
        <v>4.0000099999999996</v>
      </c>
      <c r="AC24" s="15">
        <v>6</v>
      </c>
      <c r="AD24" s="42">
        <v>5</v>
      </c>
      <c r="AE24" s="15" t="s">
        <v>99</v>
      </c>
      <c r="AG24" s="15" t="s">
        <v>100</v>
      </c>
      <c r="AH24" s="15" t="s">
        <v>101</v>
      </c>
      <c r="AI24" s="15" t="s">
        <v>105</v>
      </c>
      <c r="AJ24" s="15" t="s">
        <v>100</v>
      </c>
      <c r="AK24" s="15" t="s">
        <v>102</v>
      </c>
    </row>
    <row r="25" spans="1:37" x14ac:dyDescent="0.4">
      <c r="A25" s="84"/>
      <c r="C25" s="80">
        <f t="shared" si="4"/>
        <v>0</v>
      </c>
      <c r="D25" s="187"/>
      <c r="E25" s="300" t="str">
        <f t="shared" si="3"/>
        <v/>
      </c>
      <c r="F25" s="303" t="s">
        <v>122</v>
      </c>
      <c r="G25" s="126" t="s">
        <v>95</v>
      </c>
      <c r="H25" s="262" t="str">
        <f t="shared" ref="H25:H32" si="5">H5</f>
        <v>0-30</v>
      </c>
      <c r="I25" s="164"/>
      <c r="J25" s="164"/>
      <c r="K25" s="181"/>
      <c r="AA25" s="15" t="s">
        <v>100</v>
      </c>
      <c r="AB25" s="15">
        <v>3.1</v>
      </c>
      <c r="AC25" s="15">
        <v>4.0000099999999996</v>
      </c>
      <c r="AD25" s="42">
        <v>4</v>
      </c>
      <c r="AG25" s="15" t="s">
        <v>100</v>
      </c>
      <c r="AH25" s="15" t="s">
        <v>101</v>
      </c>
      <c r="AI25" s="15" t="s">
        <v>105</v>
      </c>
      <c r="AJ25" s="15" t="s">
        <v>108</v>
      </c>
      <c r="AK25" s="15" t="s">
        <v>102</v>
      </c>
    </row>
    <row r="26" spans="1:37" x14ac:dyDescent="0.4">
      <c r="A26" s="84"/>
      <c r="C26" s="80">
        <f t="shared" si="4"/>
        <v>0</v>
      </c>
      <c r="D26" s="188"/>
      <c r="E26" s="300" t="str">
        <f t="shared" si="3"/>
        <v/>
      </c>
      <c r="F26" s="304" t="s">
        <v>122</v>
      </c>
      <c r="G26" s="123" t="s">
        <v>103</v>
      </c>
      <c r="H26" s="263" t="str">
        <f t="shared" si="5"/>
        <v>31-100</v>
      </c>
      <c r="I26" s="165"/>
      <c r="J26" s="165"/>
      <c r="K26" s="179"/>
      <c r="AA26" s="15" t="s">
        <v>108</v>
      </c>
      <c r="AB26" s="15">
        <v>2.1</v>
      </c>
      <c r="AC26" s="15">
        <v>3.09999</v>
      </c>
      <c r="AD26" s="42">
        <v>3</v>
      </c>
      <c r="AG26" s="15" t="s">
        <v>100</v>
      </c>
      <c r="AH26" s="15" t="s">
        <v>101</v>
      </c>
      <c r="AI26" s="15" t="s">
        <v>105</v>
      </c>
      <c r="AJ26" s="15" t="s">
        <v>105</v>
      </c>
      <c r="AK26" s="15" t="s">
        <v>102</v>
      </c>
    </row>
    <row r="27" spans="1:37" x14ac:dyDescent="0.4">
      <c r="A27" s="84"/>
      <c r="C27" s="80">
        <f t="shared" si="4"/>
        <v>0</v>
      </c>
      <c r="D27" s="187"/>
      <c r="E27" s="300" t="str">
        <f t="shared" si="3"/>
        <v/>
      </c>
      <c r="F27" s="306" t="s">
        <v>122</v>
      </c>
      <c r="G27" s="123" t="s">
        <v>106</v>
      </c>
      <c r="H27" s="264" t="str">
        <f t="shared" si="5"/>
        <v>101-150</v>
      </c>
      <c r="I27" s="166"/>
      <c r="J27" s="166"/>
      <c r="K27" s="182"/>
      <c r="AA27" s="15" t="s">
        <v>105</v>
      </c>
      <c r="AB27" s="15">
        <v>1.1000000000000001</v>
      </c>
      <c r="AC27" s="15">
        <v>2.09999</v>
      </c>
      <c r="AD27" s="42">
        <v>2</v>
      </c>
      <c r="AG27" s="15" t="s">
        <v>100</v>
      </c>
      <c r="AH27" s="15" t="s">
        <v>101</v>
      </c>
      <c r="AI27" s="15" t="s">
        <v>105</v>
      </c>
      <c r="AJ27" s="57" t="s">
        <v>112</v>
      </c>
      <c r="AK27" s="15" t="s">
        <v>102</v>
      </c>
    </row>
    <row r="28" spans="1:37" x14ac:dyDescent="0.4">
      <c r="A28" s="84"/>
      <c r="C28" s="80">
        <f t="shared" si="4"/>
        <v>0</v>
      </c>
      <c r="D28" s="188"/>
      <c r="E28" s="301" t="str">
        <f t="shared" si="3"/>
        <v/>
      </c>
      <c r="F28" s="307" t="s">
        <v>122</v>
      </c>
      <c r="G28" s="125" t="s">
        <v>109</v>
      </c>
      <c r="H28" s="265" t="str">
        <f t="shared" si="5"/>
        <v>500+</v>
      </c>
      <c r="I28" s="167"/>
      <c r="J28" s="167"/>
      <c r="K28" s="180"/>
      <c r="AA28" s="15" t="s">
        <v>98</v>
      </c>
      <c r="AB28" s="15">
        <v>0</v>
      </c>
      <c r="AC28" s="15">
        <v>1.09999</v>
      </c>
      <c r="AD28" s="42">
        <v>1</v>
      </c>
      <c r="AE28" s="15" t="s">
        <v>123</v>
      </c>
      <c r="AG28" s="15" t="s">
        <v>100</v>
      </c>
      <c r="AH28" s="15" t="s">
        <v>101</v>
      </c>
      <c r="AI28" s="15" t="s">
        <v>105</v>
      </c>
      <c r="AJ28" s="15" t="s">
        <v>98</v>
      </c>
      <c r="AK28" s="15" t="s">
        <v>102</v>
      </c>
    </row>
    <row r="29" spans="1:37" x14ac:dyDescent="0.4">
      <c r="A29" s="84"/>
      <c r="C29" s="80">
        <f t="shared" si="4"/>
        <v>0</v>
      </c>
      <c r="D29" s="187"/>
      <c r="E29" s="296" t="s">
        <v>97</v>
      </c>
      <c r="F29" s="309" t="s">
        <v>116</v>
      </c>
      <c r="G29" s="126" t="s">
        <v>95</v>
      </c>
      <c r="H29" s="266" t="str">
        <f t="shared" si="5"/>
        <v>0-30</v>
      </c>
      <c r="I29" s="168"/>
      <c r="J29" s="168"/>
      <c r="K29" s="178"/>
      <c r="AG29" s="15" t="s">
        <v>100</v>
      </c>
      <c r="AH29" s="15" t="s">
        <v>101</v>
      </c>
      <c r="AI29" s="57" t="s">
        <v>112</v>
      </c>
      <c r="AJ29" s="15" t="s">
        <v>101</v>
      </c>
      <c r="AK29" s="15" t="s">
        <v>102</v>
      </c>
    </row>
    <row r="30" spans="1:37" x14ac:dyDescent="0.4">
      <c r="A30" s="84"/>
      <c r="C30" s="80">
        <f t="shared" si="4"/>
        <v>0</v>
      </c>
      <c r="D30" s="188"/>
      <c r="E30" s="297" t="s">
        <v>97</v>
      </c>
      <c r="F30" s="308" t="s">
        <v>116</v>
      </c>
      <c r="G30" s="123" t="s">
        <v>103</v>
      </c>
      <c r="H30" s="267" t="str">
        <f t="shared" si="5"/>
        <v>31-100</v>
      </c>
      <c r="I30" s="169"/>
      <c r="J30" s="169"/>
      <c r="K30" s="179"/>
      <c r="AG30" s="15" t="s">
        <v>100</v>
      </c>
      <c r="AH30" s="15" t="s">
        <v>101</v>
      </c>
      <c r="AI30" s="57" t="s">
        <v>112</v>
      </c>
      <c r="AJ30" s="15" t="s">
        <v>100</v>
      </c>
      <c r="AK30" s="15" t="s">
        <v>102</v>
      </c>
    </row>
    <row r="31" spans="1:37" x14ac:dyDescent="0.4">
      <c r="A31" s="84"/>
      <c r="C31" s="80">
        <f t="shared" si="4"/>
        <v>0</v>
      </c>
      <c r="D31" s="187"/>
      <c r="E31" s="297" t="s">
        <v>97</v>
      </c>
      <c r="F31" s="310" t="s">
        <v>116</v>
      </c>
      <c r="G31" s="123" t="s">
        <v>106</v>
      </c>
      <c r="H31" s="268" t="str">
        <f t="shared" si="5"/>
        <v>101-150</v>
      </c>
      <c r="I31" s="170"/>
      <c r="J31" s="170"/>
      <c r="K31" s="179"/>
      <c r="AG31" s="15" t="s">
        <v>100</v>
      </c>
      <c r="AH31" s="15" t="s">
        <v>101</v>
      </c>
      <c r="AI31" s="57" t="s">
        <v>112</v>
      </c>
      <c r="AJ31" s="15" t="s">
        <v>108</v>
      </c>
      <c r="AK31" s="15" t="s">
        <v>102</v>
      </c>
    </row>
    <row r="32" spans="1:37" x14ac:dyDescent="0.4">
      <c r="A32" s="84"/>
      <c r="C32" s="80">
        <f t="shared" si="4"/>
        <v>0</v>
      </c>
      <c r="D32" s="188"/>
      <c r="E32" s="297" t="s">
        <v>97</v>
      </c>
      <c r="F32" s="311" t="s">
        <v>116</v>
      </c>
      <c r="G32" s="125" t="s">
        <v>109</v>
      </c>
      <c r="H32" s="269" t="str">
        <f t="shared" si="5"/>
        <v>500+</v>
      </c>
      <c r="I32" s="171"/>
      <c r="J32" s="171"/>
      <c r="K32" s="180"/>
      <c r="AG32" s="15" t="s">
        <v>100</v>
      </c>
      <c r="AH32" s="15" t="s">
        <v>101</v>
      </c>
      <c r="AI32" s="57" t="s">
        <v>112</v>
      </c>
      <c r="AJ32" s="15" t="s">
        <v>105</v>
      </c>
      <c r="AK32" s="15" t="s">
        <v>102</v>
      </c>
    </row>
    <row r="33" spans="1:37" x14ac:dyDescent="0.4">
      <c r="A33" s="84"/>
      <c r="C33" s="80">
        <f t="shared" si="4"/>
        <v>0</v>
      </c>
      <c r="D33" s="187"/>
      <c r="E33" s="297" t="s">
        <v>97</v>
      </c>
      <c r="F33" s="312" t="s">
        <v>117</v>
      </c>
      <c r="G33" s="126" t="s">
        <v>95</v>
      </c>
      <c r="H33" s="270" t="str">
        <f t="shared" ref="H33:H40" si="6">H5</f>
        <v>0-30</v>
      </c>
      <c r="I33" s="184"/>
      <c r="J33" s="184"/>
      <c r="K33" s="178"/>
      <c r="AG33" s="15" t="s">
        <v>100</v>
      </c>
      <c r="AH33" s="15" t="s">
        <v>101</v>
      </c>
      <c r="AI33" s="57" t="s">
        <v>112</v>
      </c>
      <c r="AJ33" s="57" t="s">
        <v>112</v>
      </c>
      <c r="AK33" s="15" t="s">
        <v>102</v>
      </c>
    </row>
    <row r="34" spans="1:37" x14ac:dyDescent="0.4">
      <c r="A34" s="84"/>
      <c r="C34" s="80">
        <f t="shared" si="4"/>
        <v>0</v>
      </c>
      <c r="D34" s="188"/>
      <c r="E34" s="297" t="s">
        <v>97</v>
      </c>
      <c r="F34" s="313" t="s">
        <v>117</v>
      </c>
      <c r="G34" s="123" t="s">
        <v>103</v>
      </c>
      <c r="H34" s="271" t="str">
        <f t="shared" si="6"/>
        <v>31-100</v>
      </c>
      <c r="I34" s="185"/>
      <c r="J34" s="185"/>
      <c r="K34" s="179"/>
      <c r="AG34" s="15" t="s">
        <v>100</v>
      </c>
      <c r="AH34" s="15" t="s">
        <v>101</v>
      </c>
      <c r="AI34" s="57" t="s">
        <v>112</v>
      </c>
      <c r="AJ34" s="15" t="s">
        <v>98</v>
      </c>
      <c r="AK34" s="15" t="s">
        <v>102</v>
      </c>
    </row>
    <row r="35" spans="1:37" x14ac:dyDescent="0.4">
      <c r="A35" s="84"/>
      <c r="C35" s="80">
        <f t="shared" si="4"/>
        <v>0</v>
      </c>
      <c r="D35" s="187"/>
      <c r="E35" s="297" t="s">
        <v>97</v>
      </c>
      <c r="F35" s="310" t="s">
        <v>117</v>
      </c>
      <c r="G35" s="123" t="s">
        <v>106</v>
      </c>
      <c r="H35" s="268" t="str">
        <f t="shared" si="6"/>
        <v>101-150</v>
      </c>
      <c r="I35" s="170"/>
      <c r="J35" s="170"/>
      <c r="K35" s="179"/>
      <c r="AG35" s="15" t="s">
        <v>100</v>
      </c>
      <c r="AH35" s="15" t="s">
        <v>101</v>
      </c>
      <c r="AI35" s="15" t="s">
        <v>98</v>
      </c>
      <c r="AJ35" s="15" t="s">
        <v>101</v>
      </c>
      <c r="AK35" s="15" t="s">
        <v>102</v>
      </c>
    </row>
    <row r="36" spans="1:37" x14ac:dyDescent="0.4">
      <c r="A36" s="84"/>
      <c r="C36" s="80">
        <f t="shared" si="4"/>
        <v>0</v>
      </c>
      <c r="D36" s="188"/>
      <c r="E36" s="297" t="s">
        <v>97</v>
      </c>
      <c r="F36" s="307" t="s">
        <v>117</v>
      </c>
      <c r="G36" s="125" t="s">
        <v>109</v>
      </c>
      <c r="H36" s="265" t="str">
        <f t="shared" si="6"/>
        <v>500+</v>
      </c>
      <c r="I36" s="167"/>
      <c r="J36" s="167"/>
      <c r="K36" s="180"/>
      <c r="AG36" s="15" t="s">
        <v>100</v>
      </c>
      <c r="AH36" s="15" t="s">
        <v>101</v>
      </c>
      <c r="AI36" s="15" t="s">
        <v>98</v>
      </c>
      <c r="AJ36" s="15" t="s">
        <v>100</v>
      </c>
      <c r="AK36" s="15" t="s">
        <v>102</v>
      </c>
    </row>
    <row r="37" spans="1:37" x14ac:dyDescent="0.4">
      <c r="C37" s="80">
        <f t="shared" si="4"/>
        <v>0</v>
      </c>
      <c r="D37" s="187"/>
      <c r="E37" s="297" t="s">
        <v>97</v>
      </c>
      <c r="F37" s="312" t="s">
        <v>122</v>
      </c>
      <c r="G37" s="126" t="s">
        <v>95</v>
      </c>
      <c r="H37" s="270" t="str">
        <f t="shared" si="6"/>
        <v>0-30</v>
      </c>
      <c r="I37" s="184"/>
      <c r="J37" s="184"/>
      <c r="K37" s="178"/>
      <c r="AG37" s="15" t="s">
        <v>100</v>
      </c>
      <c r="AH37" s="15" t="s">
        <v>101</v>
      </c>
      <c r="AI37" s="15" t="s">
        <v>98</v>
      </c>
      <c r="AJ37" s="15" t="s">
        <v>108</v>
      </c>
      <c r="AK37" s="15" t="s">
        <v>102</v>
      </c>
    </row>
    <row r="38" spans="1:37" x14ac:dyDescent="0.4">
      <c r="C38" s="80">
        <f t="shared" si="4"/>
        <v>0</v>
      </c>
      <c r="D38" s="188"/>
      <c r="E38" s="297" t="s">
        <v>97</v>
      </c>
      <c r="F38" s="313" t="s">
        <v>122</v>
      </c>
      <c r="G38" s="123" t="s">
        <v>103</v>
      </c>
      <c r="H38" s="271" t="str">
        <f t="shared" si="6"/>
        <v>31-100</v>
      </c>
      <c r="I38" s="185"/>
      <c r="J38" s="185"/>
      <c r="K38" s="179"/>
      <c r="AG38" s="15" t="s">
        <v>100</v>
      </c>
      <c r="AH38" s="15" t="s">
        <v>101</v>
      </c>
      <c r="AI38" s="15" t="s">
        <v>98</v>
      </c>
      <c r="AJ38" s="15" t="s">
        <v>105</v>
      </c>
      <c r="AK38" s="15" t="s">
        <v>102</v>
      </c>
    </row>
    <row r="39" spans="1:37" x14ac:dyDescent="0.4">
      <c r="C39" s="80">
        <f t="shared" si="4"/>
        <v>0</v>
      </c>
      <c r="D39" s="187"/>
      <c r="E39" s="297" t="s">
        <v>97</v>
      </c>
      <c r="F39" s="310" t="s">
        <v>122</v>
      </c>
      <c r="G39" s="123" t="s">
        <v>106</v>
      </c>
      <c r="H39" s="268" t="str">
        <f t="shared" si="6"/>
        <v>101-150</v>
      </c>
      <c r="I39" s="170"/>
      <c r="J39" s="170"/>
      <c r="K39" s="179"/>
      <c r="AG39" s="15" t="s">
        <v>100</v>
      </c>
      <c r="AH39" s="15" t="s">
        <v>101</v>
      </c>
      <c r="AI39" s="15" t="s">
        <v>98</v>
      </c>
      <c r="AJ39" s="57" t="s">
        <v>112</v>
      </c>
      <c r="AK39" s="15" t="s">
        <v>102</v>
      </c>
    </row>
    <row r="40" spans="1:37" x14ac:dyDescent="0.4">
      <c r="C40" s="80">
        <f t="shared" si="4"/>
        <v>0</v>
      </c>
      <c r="D40" s="189"/>
      <c r="E40" s="298" t="s">
        <v>97</v>
      </c>
      <c r="F40" s="314" t="s">
        <v>122</v>
      </c>
      <c r="G40" s="125" t="s">
        <v>109</v>
      </c>
      <c r="H40" s="272" t="str">
        <f t="shared" si="6"/>
        <v>500+</v>
      </c>
      <c r="I40" s="186"/>
      <c r="J40" s="186"/>
      <c r="K40" s="180"/>
      <c r="AG40" s="15" t="s">
        <v>100</v>
      </c>
      <c r="AH40" s="15" t="s">
        <v>101</v>
      </c>
      <c r="AI40" s="15" t="s">
        <v>98</v>
      </c>
      <c r="AJ40" s="15" t="s">
        <v>98</v>
      </c>
      <c r="AK40" s="15" t="s">
        <v>102</v>
      </c>
    </row>
    <row r="41" spans="1:37" x14ac:dyDescent="0.4">
      <c r="AG41" s="15" t="s">
        <v>100</v>
      </c>
      <c r="AH41" s="15" t="s">
        <v>100</v>
      </c>
      <c r="AI41" s="15" t="s">
        <v>101</v>
      </c>
      <c r="AJ41" s="15" t="s">
        <v>101</v>
      </c>
      <c r="AK41" s="15" t="s">
        <v>102</v>
      </c>
    </row>
    <row r="42" spans="1:37" x14ac:dyDescent="0.4">
      <c r="D42" s="18" t="s">
        <v>1925</v>
      </c>
      <c r="F42" s="40"/>
      <c r="AG42" s="15" t="s">
        <v>100</v>
      </c>
      <c r="AH42" s="15" t="s">
        <v>100</v>
      </c>
      <c r="AI42" s="15" t="s">
        <v>101</v>
      </c>
      <c r="AJ42" s="15" t="s">
        <v>100</v>
      </c>
      <c r="AK42" s="15" t="s">
        <v>102</v>
      </c>
    </row>
    <row r="43" spans="1:37" hidden="1" x14ac:dyDescent="0.4">
      <c r="C43" s="15">
        <v>4.21</v>
      </c>
      <c r="D43" s="15">
        <v>4.22</v>
      </c>
      <c r="E43" s="15">
        <v>4.2300000000000004</v>
      </c>
      <c r="F43" s="15">
        <v>4.24</v>
      </c>
      <c r="G43" s="15">
        <v>4.25</v>
      </c>
      <c r="H43" s="15">
        <v>4.26</v>
      </c>
      <c r="AG43" s="15" t="s">
        <v>100</v>
      </c>
      <c r="AH43" s="15" t="s">
        <v>100</v>
      </c>
      <c r="AI43" s="15" t="s">
        <v>101</v>
      </c>
      <c r="AJ43" s="15" t="s">
        <v>108</v>
      </c>
      <c r="AK43" s="15" t="s">
        <v>102</v>
      </c>
    </row>
    <row r="44" spans="1:37" ht="33.6" x14ac:dyDescent="0.4">
      <c r="C44" s="59" t="s">
        <v>44</v>
      </c>
      <c r="D44" s="59" t="s">
        <v>115</v>
      </c>
      <c r="E44" s="59" t="s">
        <v>80</v>
      </c>
      <c r="F44" s="59" t="s">
        <v>124</v>
      </c>
      <c r="G44" s="59" t="s">
        <v>125</v>
      </c>
      <c r="H44" s="59" t="s">
        <v>126</v>
      </c>
      <c r="AG44" s="15" t="s">
        <v>100</v>
      </c>
      <c r="AH44" s="15" t="s">
        <v>100</v>
      </c>
      <c r="AI44" s="15" t="s">
        <v>101</v>
      </c>
      <c r="AJ44" s="15" t="s">
        <v>105</v>
      </c>
      <c r="AK44" s="15" t="s">
        <v>102</v>
      </c>
    </row>
    <row r="45" spans="1:37" x14ac:dyDescent="0.4">
      <c r="C45" s="75">
        <f>C5</f>
        <v>0</v>
      </c>
      <c r="D45" s="75" t="str">
        <f>E6</f>
        <v/>
      </c>
      <c r="E45" s="75" t="str">
        <f>G5</f>
        <v>Sampling zone 1</v>
      </c>
      <c r="F45" s="76" t="str">
        <f>IFERROR(AVERAGE(I5:J5,I17:J17,I21:J21,I25:J25), "")</f>
        <v/>
      </c>
      <c r="G45" s="56" t="str" cm="1">
        <f t="array" ref="G45">IFERROR(INDEX(Table5172[EQS category ref], MATCH(1, (Table47[[#This Row],[Abiotic indicator]]=Table5172[Abiotic index ref])*(Table47[[#This Row],[Avg. indicator value]]&gt;=Table5172[Equal or larger than])*(Table47[[#This Row],[Avg. indicator value]]&lt;Table5172[smaller than]),0)), "")</f>
        <v/>
      </c>
      <c r="H45" s="56" t="str" cm="1">
        <f t="array" ref="H45">IFERROR(_xlfn.IFS(Table47[[#This Row],[EQS category]]="Bad",5, Table47[[#This Row],[EQS category]]="Poor",4, Table47[[#This Row],[EQS category]]="Moderate",3, Table47[[#This Row],[EQS category]]="Good",2, Table47[[#This Row],[EQS category]]="High",1), "")</f>
        <v/>
      </c>
      <c r="AG45" s="15" t="s">
        <v>100</v>
      </c>
      <c r="AH45" s="15" t="s">
        <v>100</v>
      </c>
      <c r="AI45" s="15" t="s">
        <v>101</v>
      </c>
      <c r="AJ45" s="57" t="s">
        <v>112</v>
      </c>
      <c r="AK45" s="15" t="s">
        <v>102</v>
      </c>
    </row>
    <row r="46" spans="1:37" x14ac:dyDescent="0.4">
      <c r="C46" s="75">
        <f>C9</f>
        <v>0</v>
      </c>
      <c r="D46" s="75" t="str">
        <f>E9</f>
        <v>Redox potential (EhNHE)</v>
      </c>
      <c r="E46" s="75" t="str">
        <f>G9</f>
        <v>Sampling zone 1</v>
      </c>
      <c r="F46" s="76" t="str">
        <f>IFERROR(AVERAGE(I9:J9,I29:J29,I33:J33,I37:J37), "")</f>
        <v/>
      </c>
      <c r="G46" s="56" t="str" cm="1">
        <f t="array" ref="G46">IFERROR(INDEX(Table5172[EQS category ref], MATCH(1, (Table47[[#This Row],[Abiotic indicator]]=Table5172[Abiotic index ref])*(Table47[[#This Row],[Avg. indicator value]]&gt;=Table5172[Equal or larger than])*(Table47[[#This Row],[Avg. indicator value]]&lt;Table5172[smaller than]),0)), "")</f>
        <v/>
      </c>
      <c r="H46" s="56" t="str" cm="1">
        <f t="array" ref="H46">IFERROR(_xlfn.IFS(Table47[[#This Row],[EQS category]]="Bad",5, Table47[[#This Row],[EQS category]]="Poor",4, Table47[[#This Row],[EQS category]]="Moderate",3, Table47[[#This Row],[EQS category]]="Good",2, Table47[[#This Row],[EQS category]]="High",1), "")</f>
        <v/>
      </c>
      <c r="AG46" s="15" t="s">
        <v>100</v>
      </c>
      <c r="AH46" s="15" t="s">
        <v>100</v>
      </c>
      <c r="AI46" s="15" t="s">
        <v>101</v>
      </c>
      <c r="AJ46" s="15" t="s">
        <v>98</v>
      </c>
      <c r="AK46" s="15" t="s">
        <v>102</v>
      </c>
    </row>
    <row r="47" spans="1:37" x14ac:dyDescent="0.4">
      <c r="C47" s="75">
        <f>C6</f>
        <v>0</v>
      </c>
      <c r="D47" s="75" t="str">
        <f>E6</f>
        <v/>
      </c>
      <c r="E47" s="75" t="str">
        <f>G6</f>
        <v>Sampling zone 2</v>
      </c>
      <c r="F47" s="76" t="str">
        <f>IFERROR(AVERAGE(I6:J6,I18:J18,I22:J22,I26:J26), "")</f>
        <v/>
      </c>
      <c r="G47" s="56" t="str" cm="1">
        <f t="array" ref="G47">IFERROR(INDEX(Table5172[EQS category ref], MATCH(1, (Table47[[#This Row],[Abiotic indicator]]=Table5172[Abiotic index ref])*(Table47[[#This Row],[Avg. indicator value]]&gt;=Table5172[Equal or larger than])*(Table47[[#This Row],[Avg. indicator value]]&lt;Table5172[smaller than]),0)), "")</f>
        <v/>
      </c>
      <c r="H47" s="56" t="str" cm="1">
        <f t="array" ref="H47">IFERROR(_xlfn.IFS(Table47[[#This Row],[EQS category]]="Bad",5, Table47[[#This Row],[EQS category]]="Poor",4, Table47[[#This Row],[EQS category]]="Moderate",3, Table47[[#This Row],[EQS category]]="Good",2, Table47[[#This Row],[EQS category]]="High",1), "")</f>
        <v/>
      </c>
      <c r="AG47" s="15" t="s">
        <v>100</v>
      </c>
      <c r="AH47" s="15" t="s">
        <v>100</v>
      </c>
      <c r="AI47" s="15" t="s">
        <v>100</v>
      </c>
      <c r="AJ47" s="15" t="s">
        <v>101</v>
      </c>
      <c r="AK47" s="15" t="s">
        <v>102</v>
      </c>
    </row>
    <row r="48" spans="1:37" x14ac:dyDescent="0.4">
      <c r="C48" s="75">
        <f>C10</f>
        <v>0</v>
      </c>
      <c r="D48" s="75" t="str">
        <f>E10</f>
        <v>Redox potential (EhNHE)</v>
      </c>
      <c r="E48" s="75" t="str">
        <f>G10</f>
        <v>Sampling zone 2</v>
      </c>
      <c r="F48" s="76" t="str">
        <f>IFERROR(AVERAGE(I10:J10,I30:J30,I34:J34,I38:J38), "")</f>
        <v/>
      </c>
      <c r="G48" s="56" t="str" cm="1">
        <f t="array" ref="G48">IFERROR(INDEX(Table5172[EQS category ref], MATCH(1, (Table47[[#This Row],[Abiotic indicator]]=Table5172[Abiotic index ref])*(Table47[[#This Row],[Avg. indicator value]]&gt;=Table5172[Equal or larger than])*(Table47[[#This Row],[Avg. indicator value]]&lt;Table5172[smaller than]),0)), "")</f>
        <v/>
      </c>
      <c r="H48" s="56" t="str" cm="1">
        <f t="array" ref="H48">IFERROR(_xlfn.IFS(Table47[[#This Row],[EQS category]]="Bad",5, Table47[[#This Row],[EQS category]]="Poor",4, Table47[[#This Row],[EQS category]]="Moderate",3, Table47[[#This Row],[EQS category]]="Good",2, Table47[[#This Row],[EQS category]]="High",1), "")</f>
        <v/>
      </c>
      <c r="AG48" s="15" t="s">
        <v>100</v>
      </c>
      <c r="AH48" s="15" t="s">
        <v>100</v>
      </c>
      <c r="AI48" s="15" t="s">
        <v>100</v>
      </c>
      <c r="AJ48" s="15" t="s">
        <v>100</v>
      </c>
      <c r="AK48" s="15" t="s">
        <v>102</v>
      </c>
    </row>
    <row r="49" spans="3:37" x14ac:dyDescent="0.4">
      <c r="C49" s="75">
        <f>C7</f>
        <v>0</v>
      </c>
      <c r="D49" s="75" t="str">
        <f>E7</f>
        <v/>
      </c>
      <c r="E49" s="75" t="str">
        <f>G7</f>
        <v>Sampling zone 3</v>
      </c>
      <c r="F49" s="76" t="str">
        <f>IFERROR(AVERAGE(I7:J7,I19:J19,I23:J23,I27:J27), "")</f>
        <v/>
      </c>
      <c r="G49" s="56" t="str" cm="1">
        <f t="array" ref="G49">IFERROR(INDEX(Table5172[EQS category ref], MATCH(1, (Table47[[#This Row],[Abiotic indicator]]=Table5172[Abiotic index ref])*(Table47[[#This Row],[Avg. indicator value]]&gt;=Table5172[Equal or larger than])*(Table47[[#This Row],[Avg. indicator value]]&lt;Table5172[smaller than]),0)), "")</f>
        <v/>
      </c>
      <c r="H49" s="56" t="str" cm="1">
        <f t="array" ref="H49">IFERROR(_xlfn.IFS(Table47[[#This Row],[EQS category]]="Bad",5, Table47[[#This Row],[EQS category]]="Poor",4, Table47[[#This Row],[EQS category]]="Moderate",3, Table47[[#This Row],[EQS category]]="Good",2, Table47[[#This Row],[EQS category]]="High",1), "")</f>
        <v/>
      </c>
      <c r="AG49" s="15" t="s">
        <v>100</v>
      </c>
      <c r="AH49" s="15" t="s">
        <v>100</v>
      </c>
      <c r="AI49" s="15" t="s">
        <v>100</v>
      </c>
      <c r="AJ49" s="15" t="s">
        <v>108</v>
      </c>
      <c r="AK49" s="15" t="s">
        <v>102</v>
      </c>
    </row>
    <row r="50" spans="3:37" x14ac:dyDescent="0.4">
      <c r="C50" s="75">
        <f>C11</f>
        <v>0</v>
      </c>
      <c r="D50" s="75" t="str">
        <f>E11</f>
        <v>Redox potential (EhNHE)</v>
      </c>
      <c r="E50" s="75" t="str">
        <f>G11</f>
        <v>Sampling zone 3</v>
      </c>
      <c r="F50" s="76" t="str">
        <f>IFERROR(AVERAGE(I11:J11,I31:J31,I35:J35,I39:J39), "")</f>
        <v/>
      </c>
      <c r="G50" s="56" t="str" cm="1">
        <f t="array" ref="G50">IFERROR(INDEX(Table5172[EQS category ref], MATCH(1, (Table47[[#This Row],[Abiotic indicator]]=Table5172[Abiotic index ref])*(Table47[[#This Row],[Avg. indicator value]]&gt;=Table5172[Equal or larger than])*(Table47[[#This Row],[Avg. indicator value]]&lt;Table5172[smaller than]),0)), "")</f>
        <v/>
      </c>
      <c r="H50" s="56" t="str" cm="1">
        <f t="array" ref="H50">IFERROR(_xlfn.IFS(Table47[[#This Row],[EQS category]]="Bad",5, Table47[[#This Row],[EQS category]]="Poor",4, Table47[[#This Row],[EQS category]]="Moderate",3, Table47[[#This Row],[EQS category]]="Good",2, Table47[[#This Row],[EQS category]]="High",1), "")</f>
        <v/>
      </c>
      <c r="AG50" s="15" t="s">
        <v>100</v>
      </c>
      <c r="AH50" s="15" t="s">
        <v>100</v>
      </c>
      <c r="AI50" s="15" t="s">
        <v>100</v>
      </c>
      <c r="AJ50" s="15" t="s">
        <v>105</v>
      </c>
      <c r="AK50" s="15" t="s">
        <v>102</v>
      </c>
    </row>
    <row r="51" spans="3:37" x14ac:dyDescent="0.4">
      <c r="C51" s="75">
        <f>C60</f>
        <v>0</v>
      </c>
      <c r="D51" s="75" t="str">
        <f>E8</f>
        <v/>
      </c>
      <c r="E51" s="75" t="str">
        <f>G8</f>
        <v>Reference zone</v>
      </c>
      <c r="F51" s="76" t="str">
        <f>IFERROR(AVERAGE(I8:J8,I20:J20,I24:J24,I28:J28), "")</f>
        <v/>
      </c>
      <c r="G51" s="56" t="str" cm="1">
        <f t="array" ref="G51">IFERROR(INDEX(Table5172[EQS category ref], MATCH(1, (Table47[[#This Row],[Abiotic indicator]]=Table5172[Abiotic index ref])*(Table47[[#This Row],[Avg. indicator value]]&gt;=Table5172[Equal or larger than])*(Table47[[#This Row],[Avg. indicator value]]&lt;Table5172[smaller than]),0)), "")</f>
        <v/>
      </c>
      <c r="H51" s="56" t="str" cm="1">
        <f t="array" ref="H51">IFERROR(_xlfn.IFS(Table47[[#This Row],[EQS category]]="Bad",5, Table47[[#This Row],[EQS category]]="Poor",4, Table47[[#This Row],[EQS category]]="Moderate",3, Table47[[#This Row],[EQS category]]="Good",2, Table47[[#This Row],[EQS category]]="High",1), "")</f>
        <v/>
      </c>
      <c r="AG51" s="15" t="s">
        <v>100</v>
      </c>
      <c r="AH51" s="15" t="s">
        <v>100</v>
      </c>
      <c r="AI51" s="15" t="s">
        <v>100</v>
      </c>
      <c r="AJ51" s="57" t="s">
        <v>112</v>
      </c>
      <c r="AK51" s="15" t="s">
        <v>102</v>
      </c>
    </row>
    <row r="52" spans="3:37" x14ac:dyDescent="0.4">
      <c r="C52" s="75">
        <f>C12</f>
        <v>0</v>
      </c>
      <c r="D52" s="75" t="str">
        <f>E12</f>
        <v>Redox potential (EhNHE)</v>
      </c>
      <c r="E52" s="75" t="str">
        <f>G12</f>
        <v>Reference zone</v>
      </c>
      <c r="F52" s="76" t="str">
        <f>IFERROR(AVERAGE(I12:J12,I32:J32,I36:J36,I40:J40), "")</f>
        <v/>
      </c>
      <c r="G52" s="56" t="str" cm="1">
        <f t="array" ref="G52">IFERROR(INDEX(Table5172[EQS category ref], MATCH(1, (Table47[[#This Row],[Abiotic indicator]]=Table5172[Abiotic index ref])*(Table47[[#This Row],[Avg. indicator value]]&gt;=Table5172[Equal or larger than])*(Table47[[#This Row],[Avg. indicator value]]&lt;Table5172[smaller than]),0)), "")</f>
        <v/>
      </c>
      <c r="H52" s="56" t="str" cm="1">
        <f t="array" ref="H52">IFERROR(_xlfn.IFS(Table47[[#This Row],[EQS category]]="Bad",5, Table47[[#This Row],[EQS category]]="Poor",4, Table47[[#This Row],[EQS category]]="Moderate",3, Table47[[#This Row],[EQS category]]="Good",2, Table47[[#This Row],[EQS category]]="High",1), "")</f>
        <v/>
      </c>
      <c r="AG52" s="15" t="s">
        <v>100</v>
      </c>
      <c r="AH52" s="15" t="s">
        <v>100</v>
      </c>
      <c r="AI52" s="15" t="s">
        <v>100</v>
      </c>
      <c r="AJ52" s="15" t="s">
        <v>98</v>
      </c>
      <c r="AK52" s="15" t="s">
        <v>102</v>
      </c>
    </row>
    <row r="53" spans="3:37" x14ac:dyDescent="0.4">
      <c r="AG53" s="15" t="s">
        <v>100</v>
      </c>
      <c r="AH53" s="15" t="s">
        <v>100</v>
      </c>
      <c r="AI53" s="15" t="s">
        <v>108</v>
      </c>
      <c r="AJ53" s="15" t="s">
        <v>101</v>
      </c>
      <c r="AK53" s="15" t="s">
        <v>102</v>
      </c>
    </row>
    <row r="54" spans="3:37" x14ac:dyDescent="0.4">
      <c r="D54" s="18" t="s">
        <v>1921</v>
      </c>
      <c r="E54" s="20"/>
      <c r="F54" s="20"/>
      <c r="AG54" s="15" t="s">
        <v>100</v>
      </c>
      <c r="AH54" s="15" t="s">
        <v>100</v>
      </c>
      <c r="AI54" s="15" t="s">
        <v>108</v>
      </c>
      <c r="AJ54" s="15" t="s">
        <v>100</v>
      </c>
      <c r="AK54" s="15" t="s">
        <v>102</v>
      </c>
    </row>
    <row r="55" spans="3:37" hidden="1" x14ac:dyDescent="0.4">
      <c r="C55" s="15">
        <v>4.2699999999999996</v>
      </c>
      <c r="D55" s="15">
        <v>4.28</v>
      </c>
      <c r="E55" s="15">
        <v>4.29</v>
      </c>
      <c r="F55" s="15">
        <v>4.3099999999999996</v>
      </c>
      <c r="AG55" s="15" t="s">
        <v>100</v>
      </c>
      <c r="AH55" s="15" t="s">
        <v>100</v>
      </c>
      <c r="AI55" s="15" t="s">
        <v>108</v>
      </c>
      <c r="AJ55" s="15" t="s">
        <v>108</v>
      </c>
      <c r="AK55" s="15" t="s">
        <v>102</v>
      </c>
    </row>
    <row r="56" spans="3:37" ht="17.399999999999999" thickBot="1" x14ac:dyDescent="0.45">
      <c r="C56" s="64" t="s">
        <v>128</v>
      </c>
      <c r="D56" s="64" t="s">
        <v>80</v>
      </c>
      <c r="E56" s="79" t="s">
        <v>129</v>
      </c>
      <c r="F56" s="79" t="s">
        <v>130</v>
      </c>
      <c r="AG56" s="15" t="s">
        <v>100</v>
      </c>
      <c r="AH56" s="15" t="s">
        <v>100</v>
      </c>
      <c r="AI56" s="15" t="s">
        <v>108</v>
      </c>
      <c r="AJ56" s="15" t="s">
        <v>105</v>
      </c>
      <c r="AK56" s="15" t="s">
        <v>102</v>
      </c>
    </row>
    <row r="57" spans="3:37" ht="17.399999999999999" thickTop="1" x14ac:dyDescent="0.4">
      <c r="C57" s="75">
        <f t="shared" ref="C57:C60" si="7">C47</f>
        <v>0</v>
      </c>
      <c r="D57" s="56" t="str">
        <f>E45</f>
        <v>Sampling zone 1</v>
      </c>
      <c r="E57" s="76" t="str" cm="1">
        <f t="array" ref="E57">IFERROR((_xlfn.IFS(D45= "Total Free Sulphide (S2-UV μM)", (H45*0.75+H46*0.25), D45="Total Free Sulphide (S2-ISE μM)", (H45+H46)/2)), "")</f>
        <v/>
      </c>
      <c r="F57" s="104" t="str" cm="1">
        <f t="array" ref="F57">IFERROR(( INDEX(Table20[EQS category ref], MATCH(1,(Table48[[#This Row],[Zone EQS score]]&gt;Table20[Larger than])*(Table48[[#This Row],[Zone EQS score]]&lt;=Table20[Equal or smaller than]),0))), "")</f>
        <v/>
      </c>
      <c r="AG57" s="15" t="s">
        <v>100</v>
      </c>
      <c r="AH57" s="15" t="s">
        <v>100</v>
      </c>
      <c r="AI57" s="15" t="s">
        <v>108</v>
      </c>
      <c r="AJ57" s="57" t="s">
        <v>112</v>
      </c>
      <c r="AK57" s="15" t="s">
        <v>102</v>
      </c>
    </row>
    <row r="58" spans="3:37" x14ac:dyDescent="0.4">
      <c r="C58" s="75">
        <f t="shared" si="7"/>
        <v>0</v>
      </c>
      <c r="D58" s="80" t="str">
        <f>E47</f>
        <v>Sampling zone 2</v>
      </c>
      <c r="E58" s="76" t="str" cm="1">
        <f t="array" ref="E58">IFERROR((_xlfn.IFS(D47= "Total Free Sulphide (S2-UV μM)", (H47*0.75+H48*0.25), D47="Total Free Sulphide (S2-ISE μM)", (H47+H48)/2)), "")</f>
        <v/>
      </c>
      <c r="F58" s="104" t="str" cm="1">
        <f t="array" ref="F58">IFERROR(( INDEX(Table20[EQS category ref], MATCH(1,(Table48[[#This Row],[Zone EQS score]]&gt;Table20[Larger than])*(Table48[[#This Row],[Zone EQS score]]&lt;=Table20[Equal or smaller than]),0))), "")</f>
        <v/>
      </c>
      <c r="AG58" s="15" t="s">
        <v>100</v>
      </c>
      <c r="AH58" s="15" t="s">
        <v>100</v>
      </c>
      <c r="AI58" s="15" t="s">
        <v>108</v>
      </c>
      <c r="AJ58" s="15" t="s">
        <v>98</v>
      </c>
      <c r="AK58" s="15" t="s">
        <v>102</v>
      </c>
    </row>
    <row r="59" spans="3:37" x14ac:dyDescent="0.4">
      <c r="C59" s="75">
        <f t="shared" si="7"/>
        <v>0</v>
      </c>
      <c r="D59" s="80" t="str">
        <f>E49</f>
        <v>Sampling zone 3</v>
      </c>
      <c r="E59" s="76" t="str" cm="1">
        <f t="array" ref="E59">IFERROR((_xlfn.IFS(D49= "Total Free Sulphide (S2-UV μM)", (H49*0.75+H50*0.25), D49="Total Free Sulphide (S2-ISE μM)", (H49+H50)/2)), "")</f>
        <v/>
      </c>
      <c r="F59" s="104" t="str" cm="1">
        <f t="array" ref="F59">IFERROR(( INDEX(Table20[EQS category ref], MATCH(1,(Table48[[#This Row],[Zone EQS score]]&gt;Table20[Larger than])*(Table48[[#This Row],[Zone EQS score]]&lt;=Table20[Equal or smaller than]),0))), "")</f>
        <v/>
      </c>
      <c r="AG59" s="15" t="s">
        <v>100</v>
      </c>
      <c r="AH59" s="15" t="s">
        <v>100</v>
      </c>
      <c r="AI59" s="15" t="s">
        <v>105</v>
      </c>
      <c r="AJ59" s="15" t="s">
        <v>101</v>
      </c>
      <c r="AK59" s="15" t="s">
        <v>102</v>
      </c>
    </row>
    <row r="60" spans="3:37" x14ac:dyDescent="0.4">
      <c r="C60" s="75">
        <f t="shared" si="7"/>
        <v>0</v>
      </c>
      <c r="D60" s="80" t="str">
        <f>E51</f>
        <v>Reference zone</v>
      </c>
      <c r="E60" s="76" t="str" cm="1">
        <f t="array" ref="E60">IFERROR((_xlfn.IFS(D51= "Total Free Sulphide (S2-UV μM)", (H51*0.75+H52*0.25), D51="Total Free Sulphide (S2-ISE μM)", (H51+H52)/2)), "")</f>
        <v/>
      </c>
      <c r="F60" s="104" t="str" cm="1">
        <f t="array" ref="F60">IFERROR(( INDEX(Table20[EQS category ref], MATCH(1,(Table48[[#This Row],[Zone EQS score]]&gt;Table20[Larger than])*(Table48[[#This Row],[Zone EQS score]]&lt;=Table20[Equal or smaller than]),0))), "")</f>
        <v/>
      </c>
      <c r="AG60" s="15" t="s">
        <v>100</v>
      </c>
      <c r="AH60" s="15" t="s">
        <v>100</v>
      </c>
      <c r="AI60" s="15" t="s">
        <v>105</v>
      </c>
      <c r="AJ60" s="15" t="s">
        <v>100</v>
      </c>
      <c r="AK60" s="15" t="s">
        <v>102</v>
      </c>
    </row>
    <row r="61" spans="3:37" x14ac:dyDescent="0.4">
      <c r="AG61" s="15" t="s">
        <v>100</v>
      </c>
      <c r="AH61" s="15" t="s">
        <v>100</v>
      </c>
      <c r="AI61" s="15" t="s">
        <v>105</v>
      </c>
      <c r="AJ61" s="15" t="s">
        <v>108</v>
      </c>
      <c r="AK61" s="15" t="s">
        <v>102</v>
      </c>
    </row>
    <row r="62" spans="3:37" x14ac:dyDescent="0.4">
      <c r="D62" s="18" t="s">
        <v>1920</v>
      </c>
      <c r="AG62" s="15" t="s">
        <v>100</v>
      </c>
      <c r="AH62" s="15" t="s">
        <v>100</v>
      </c>
      <c r="AI62" s="15" t="s">
        <v>105</v>
      </c>
      <c r="AJ62" s="15" t="s">
        <v>105</v>
      </c>
      <c r="AK62" s="15" t="s">
        <v>102</v>
      </c>
    </row>
    <row r="63" spans="3:37" hidden="1" x14ac:dyDescent="0.4">
      <c r="C63" s="15">
        <v>4.32</v>
      </c>
      <c r="D63" s="15">
        <v>4.33</v>
      </c>
      <c r="AG63" s="15" t="s">
        <v>100</v>
      </c>
      <c r="AH63" s="15" t="s">
        <v>100</v>
      </c>
      <c r="AI63" s="15" t="s">
        <v>105</v>
      </c>
      <c r="AJ63" s="57" t="s">
        <v>112</v>
      </c>
      <c r="AK63" s="15" t="s">
        <v>102</v>
      </c>
    </row>
    <row r="64" spans="3:37" ht="33.6" x14ac:dyDescent="0.4">
      <c r="C64" s="64" t="s">
        <v>44</v>
      </c>
      <c r="D64" s="59" t="s">
        <v>132</v>
      </c>
      <c r="AG64" s="15" t="s">
        <v>100</v>
      </c>
      <c r="AH64" s="15" t="s">
        <v>100</v>
      </c>
      <c r="AI64" s="15" t="s">
        <v>105</v>
      </c>
      <c r="AJ64" s="15" t="s">
        <v>98</v>
      </c>
      <c r="AK64" s="15" t="s">
        <v>102</v>
      </c>
    </row>
    <row r="65" spans="3:37" x14ac:dyDescent="0.4">
      <c r="C65" s="80">
        <f>C57</f>
        <v>0</v>
      </c>
      <c r="D65" s="56" t="str" cm="1">
        <f t="array" ref="D65">IFERROR((INDEX(Table4046[Benthic status], MATCH(1, (F60=AG5:AG1300)*(F57=AH5:AH1300)*(F58=AI5:AI1300)*(F59=AJ5:AJ1300), 0))), "")</f>
        <v/>
      </c>
      <c r="AG65" s="15" t="s">
        <v>100</v>
      </c>
      <c r="AH65" s="15" t="s">
        <v>100</v>
      </c>
      <c r="AI65" s="57" t="s">
        <v>112</v>
      </c>
      <c r="AJ65" s="15" t="s">
        <v>101</v>
      </c>
      <c r="AK65" s="15" t="s">
        <v>102</v>
      </c>
    </row>
    <row r="66" spans="3:37" x14ac:dyDescent="0.4">
      <c r="AG66" s="15" t="s">
        <v>100</v>
      </c>
      <c r="AH66" s="15" t="s">
        <v>100</v>
      </c>
      <c r="AI66" s="57" t="s">
        <v>112</v>
      </c>
      <c r="AJ66" s="15" t="s">
        <v>100</v>
      </c>
      <c r="AK66" s="15" t="s">
        <v>102</v>
      </c>
    </row>
    <row r="67" spans="3:37" x14ac:dyDescent="0.4">
      <c r="AG67" s="15" t="s">
        <v>100</v>
      </c>
      <c r="AH67" s="15" t="s">
        <v>100</v>
      </c>
      <c r="AI67" s="57" t="s">
        <v>112</v>
      </c>
      <c r="AJ67" s="15" t="s">
        <v>108</v>
      </c>
      <c r="AK67" s="15" t="s">
        <v>102</v>
      </c>
    </row>
    <row r="68" spans="3:37" x14ac:dyDescent="0.4">
      <c r="AG68" s="15" t="s">
        <v>100</v>
      </c>
      <c r="AH68" s="15" t="s">
        <v>100</v>
      </c>
      <c r="AI68" s="57" t="s">
        <v>112</v>
      </c>
      <c r="AJ68" s="15" t="s">
        <v>105</v>
      </c>
      <c r="AK68" s="15" t="s">
        <v>102</v>
      </c>
    </row>
    <row r="69" spans="3:37" x14ac:dyDescent="0.4">
      <c r="AG69" s="15" t="s">
        <v>100</v>
      </c>
      <c r="AH69" s="15" t="s">
        <v>100</v>
      </c>
      <c r="AI69" s="57" t="s">
        <v>112</v>
      </c>
      <c r="AJ69" s="57" t="s">
        <v>112</v>
      </c>
      <c r="AK69" s="15" t="s">
        <v>102</v>
      </c>
    </row>
    <row r="70" spans="3:37" x14ac:dyDescent="0.4">
      <c r="AG70" s="15" t="s">
        <v>100</v>
      </c>
      <c r="AH70" s="15" t="s">
        <v>100</v>
      </c>
      <c r="AI70" s="57" t="s">
        <v>112</v>
      </c>
      <c r="AJ70" s="15" t="s">
        <v>98</v>
      </c>
      <c r="AK70" s="15" t="s">
        <v>102</v>
      </c>
    </row>
    <row r="71" spans="3:37" x14ac:dyDescent="0.4">
      <c r="AG71" s="15" t="s">
        <v>100</v>
      </c>
      <c r="AH71" s="15" t="s">
        <v>100</v>
      </c>
      <c r="AI71" s="15" t="s">
        <v>98</v>
      </c>
      <c r="AJ71" s="15" t="s">
        <v>101</v>
      </c>
      <c r="AK71" s="15" t="s">
        <v>102</v>
      </c>
    </row>
    <row r="72" spans="3:37" x14ac:dyDescent="0.4">
      <c r="AG72" s="15" t="s">
        <v>100</v>
      </c>
      <c r="AH72" s="15" t="s">
        <v>100</v>
      </c>
      <c r="AI72" s="15" t="s">
        <v>98</v>
      </c>
      <c r="AJ72" s="15" t="s">
        <v>100</v>
      </c>
      <c r="AK72" s="15" t="s">
        <v>102</v>
      </c>
    </row>
    <row r="73" spans="3:37" x14ac:dyDescent="0.4">
      <c r="AG73" s="15" t="s">
        <v>100</v>
      </c>
      <c r="AH73" s="15" t="s">
        <v>100</v>
      </c>
      <c r="AI73" s="15" t="s">
        <v>98</v>
      </c>
      <c r="AJ73" s="15" t="s">
        <v>108</v>
      </c>
      <c r="AK73" s="15" t="s">
        <v>102</v>
      </c>
    </row>
    <row r="74" spans="3:37" x14ac:dyDescent="0.4">
      <c r="AG74" s="15" t="s">
        <v>100</v>
      </c>
      <c r="AH74" s="15" t="s">
        <v>100</v>
      </c>
      <c r="AI74" s="15" t="s">
        <v>98</v>
      </c>
      <c r="AJ74" s="15" t="s">
        <v>105</v>
      </c>
      <c r="AK74" s="15" t="s">
        <v>102</v>
      </c>
    </row>
    <row r="75" spans="3:37" x14ac:dyDescent="0.4">
      <c r="AG75" s="15" t="s">
        <v>100</v>
      </c>
      <c r="AH75" s="15" t="s">
        <v>100</v>
      </c>
      <c r="AI75" s="15" t="s">
        <v>98</v>
      </c>
      <c r="AJ75" s="57" t="s">
        <v>112</v>
      </c>
      <c r="AK75" s="15" t="s">
        <v>102</v>
      </c>
    </row>
    <row r="76" spans="3:37" x14ac:dyDescent="0.4">
      <c r="AG76" s="15" t="s">
        <v>100</v>
      </c>
      <c r="AH76" s="15" t="s">
        <v>100</v>
      </c>
      <c r="AI76" s="15" t="s">
        <v>98</v>
      </c>
      <c r="AJ76" s="15" t="s">
        <v>98</v>
      </c>
      <c r="AK76" s="15" t="s">
        <v>102</v>
      </c>
    </row>
    <row r="77" spans="3:37" x14ac:dyDescent="0.4">
      <c r="AG77" s="15" t="s">
        <v>100</v>
      </c>
      <c r="AH77" s="15" t="s">
        <v>108</v>
      </c>
      <c r="AI77" s="15" t="s">
        <v>101</v>
      </c>
      <c r="AJ77" s="15" t="s">
        <v>101</v>
      </c>
      <c r="AK77" s="15" t="s">
        <v>102</v>
      </c>
    </row>
    <row r="78" spans="3:37" x14ac:dyDescent="0.4">
      <c r="AG78" s="15" t="s">
        <v>100</v>
      </c>
      <c r="AH78" s="15" t="s">
        <v>108</v>
      </c>
      <c r="AI78" s="15" t="s">
        <v>101</v>
      </c>
      <c r="AJ78" s="15" t="s">
        <v>100</v>
      </c>
      <c r="AK78" s="15" t="s">
        <v>102</v>
      </c>
    </row>
    <row r="79" spans="3:37" x14ac:dyDescent="0.4">
      <c r="AG79" s="15" t="s">
        <v>100</v>
      </c>
      <c r="AH79" s="15" t="s">
        <v>108</v>
      </c>
      <c r="AI79" s="15" t="s">
        <v>101</v>
      </c>
      <c r="AJ79" s="15" t="s">
        <v>108</v>
      </c>
      <c r="AK79" s="15" t="s">
        <v>102</v>
      </c>
    </row>
    <row r="80" spans="3:37" x14ac:dyDescent="0.4">
      <c r="AG80" s="15" t="s">
        <v>100</v>
      </c>
      <c r="AH80" s="15" t="s">
        <v>108</v>
      </c>
      <c r="AI80" s="15" t="s">
        <v>101</v>
      </c>
      <c r="AJ80" s="15" t="s">
        <v>105</v>
      </c>
      <c r="AK80" s="15" t="s">
        <v>102</v>
      </c>
    </row>
    <row r="81" spans="33:37" x14ac:dyDescent="0.4">
      <c r="AG81" s="15" t="s">
        <v>100</v>
      </c>
      <c r="AH81" s="15" t="s">
        <v>108</v>
      </c>
      <c r="AI81" s="15" t="s">
        <v>101</v>
      </c>
      <c r="AJ81" s="57" t="s">
        <v>112</v>
      </c>
      <c r="AK81" s="15" t="s">
        <v>102</v>
      </c>
    </row>
    <row r="82" spans="33:37" x14ac:dyDescent="0.4">
      <c r="AG82" s="15" t="s">
        <v>100</v>
      </c>
      <c r="AH82" s="15" t="s">
        <v>108</v>
      </c>
      <c r="AI82" s="15" t="s">
        <v>101</v>
      </c>
      <c r="AJ82" s="15" t="s">
        <v>98</v>
      </c>
      <c r="AK82" s="15" t="s">
        <v>102</v>
      </c>
    </row>
    <row r="83" spans="33:37" x14ac:dyDescent="0.4">
      <c r="AG83" s="15" t="s">
        <v>100</v>
      </c>
      <c r="AH83" s="15" t="s">
        <v>108</v>
      </c>
      <c r="AI83" s="15" t="s">
        <v>100</v>
      </c>
      <c r="AJ83" s="15" t="s">
        <v>101</v>
      </c>
      <c r="AK83" s="15" t="s">
        <v>102</v>
      </c>
    </row>
    <row r="84" spans="33:37" x14ac:dyDescent="0.4">
      <c r="AG84" s="15" t="s">
        <v>100</v>
      </c>
      <c r="AH84" s="15" t="s">
        <v>108</v>
      </c>
      <c r="AI84" s="15" t="s">
        <v>100</v>
      </c>
      <c r="AJ84" s="15" t="s">
        <v>100</v>
      </c>
      <c r="AK84" s="15" t="s">
        <v>102</v>
      </c>
    </row>
    <row r="85" spans="33:37" x14ac:dyDescent="0.4">
      <c r="AG85" s="15" t="s">
        <v>100</v>
      </c>
      <c r="AH85" s="15" t="s">
        <v>108</v>
      </c>
      <c r="AI85" s="15" t="s">
        <v>100</v>
      </c>
      <c r="AJ85" s="15" t="s">
        <v>108</v>
      </c>
      <c r="AK85" s="15" t="s">
        <v>102</v>
      </c>
    </row>
    <row r="86" spans="33:37" x14ac:dyDescent="0.4">
      <c r="AG86" s="15" t="s">
        <v>100</v>
      </c>
      <c r="AH86" s="15" t="s">
        <v>108</v>
      </c>
      <c r="AI86" s="15" t="s">
        <v>100</v>
      </c>
      <c r="AJ86" s="15" t="s">
        <v>105</v>
      </c>
      <c r="AK86" s="15" t="s">
        <v>102</v>
      </c>
    </row>
    <row r="87" spans="33:37" x14ac:dyDescent="0.4">
      <c r="AG87" s="15" t="s">
        <v>100</v>
      </c>
      <c r="AH87" s="15" t="s">
        <v>108</v>
      </c>
      <c r="AI87" s="15" t="s">
        <v>100</v>
      </c>
      <c r="AJ87" s="57" t="s">
        <v>112</v>
      </c>
      <c r="AK87" s="15" t="s">
        <v>102</v>
      </c>
    </row>
    <row r="88" spans="33:37" x14ac:dyDescent="0.4">
      <c r="AG88" s="15" t="s">
        <v>100</v>
      </c>
      <c r="AH88" s="15" t="s">
        <v>108</v>
      </c>
      <c r="AI88" s="15" t="s">
        <v>100</v>
      </c>
      <c r="AJ88" s="15" t="s">
        <v>98</v>
      </c>
      <c r="AK88" s="15" t="s">
        <v>102</v>
      </c>
    </row>
    <row r="89" spans="33:37" x14ac:dyDescent="0.4">
      <c r="AG89" s="15" t="s">
        <v>100</v>
      </c>
      <c r="AH89" s="15" t="s">
        <v>108</v>
      </c>
      <c r="AI89" s="15" t="s">
        <v>108</v>
      </c>
      <c r="AJ89" s="15" t="s">
        <v>101</v>
      </c>
      <c r="AK89" s="15" t="s">
        <v>102</v>
      </c>
    </row>
    <row r="90" spans="33:37" x14ac:dyDescent="0.4">
      <c r="AG90" s="15" t="s">
        <v>100</v>
      </c>
      <c r="AH90" s="15" t="s">
        <v>108</v>
      </c>
      <c r="AI90" s="15" t="s">
        <v>108</v>
      </c>
      <c r="AJ90" s="15" t="s">
        <v>100</v>
      </c>
      <c r="AK90" s="15" t="s">
        <v>102</v>
      </c>
    </row>
    <row r="91" spans="33:37" x14ac:dyDescent="0.4">
      <c r="AG91" s="15" t="s">
        <v>100</v>
      </c>
      <c r="AH91" s="15" t="s">
        <v>108</v>
      </c>
      <c r="AI91" s="15" t="s">
        <v>108</v>
      </c>
      <c r="AJ91" s="15" t="s">
        <v>108</v>
      </c>
      <c r="AK91" s="15" t="s">
        <v>102</v>
      </c>
    </row>
    <row r="92" spans="33:37" x14ac:dyDescent="0.4">
      <c r="AG92" s="15" t="s">
        <v>100</v>
      </c>
      <c r="AH92" s="15" t="s">
        <v>108</v>
      </c>
      <c r="AI92" s="15" t="s">
        <v>108</v>
      </c>
      <c r="AJ92" s="15" t="s">
        <v>105</v>
      </c>
      <c r="AK92" s="15" t="s">
        <v>102</v>
      </c>
    </row>
    <row r="93" spans="33:37" x14ac:dyDescent="0.4">
      <c r="AG93" s="15" t="s">
        <v>100</v>
      </c>
      <c r="AH93" s="15" t="s">
        <v>108</v>
      </c>
      <c r="AI93" s="15" t="s">
        <v>108</v>
      </c>
      <c r="AJ93" s="57" t="s">
        <v>112</v>
      </c>
      <c r="AK93" s="15" t="s">
        <v>102</v>
      </c>
    </row>
    <row r="94" spans="33:37" x14ac:dyDescent="0.4">
      <c r="AG94" s="15" t="s">
        <v>100</v>
      </c>
      <c r="AH94" s="15" t="s">
        <v>108</v>
      </c>
      <c r="AI94" s="15" t="s">
        <v>108</v>
      </c>
      <c r="AJ94" s="15" t="s">
        <v>98</v>
      </c>
      <c r="AK94" s="15" t="s">
        <v>102</v>
      </c>
    </row>
    <row r="95" spans="33:37" x14ac:dyDescent="0.4">
      <c r="AG95" s="15" t="s">
        <v>100</v>
      </c>
      <c r="AH95" s="15" t="s">
        <v>108</v>
      </c>
      <c r="AI95" s="15" t="s">
        <v>105</v>
      </c>
      <c r="AJ95" s="15" t="s">
        <v>101</v>
      </c>
      <c r="AK95" s="15" t="s">
        <v>102</v>
      </c>
    </row>
    <row r="96" spans="33:37" x14ac:dyDescent="0.4">
      <c r="AG96" s="15" t="s">
        <v>100</v>
      </c>
      <c r="AH96" s="15" t="s">
        <v>108</v>
      </c>
      <c r="AI96" s="15" t="s">
        <v>105</v>
      </c>
      <c r="AJ96" s="15" t="s">
        <v>100</v>
      </c>
      <c r="AK96" s="15" t="s">
        <v>102</v>
      </c>
    </row>
    <row r="97" spans="33:37" x14ac:dyDescent="0.4">
      <c r="AG97" s="15" t="s">
        <v>100</v>
      </c>
      <c r="AH97" s="15" t="s">
        <v>108</v>
      </c>
      <c r="AI97" s="15" t="s">
        <v>105</v>
      </c>
      <c r="AJ97" s="15" t="s">
        <v>108</v>
      </c>
      <c r="AK97" s="15" t="s">
        <v>102</v>
      </c>
    </row>
    <row r="98" spans="33:37" x14ac:dyDescent="0.4">
      <c r="AG98" s="15" t="s">
        <v>100</v>
      </c>
      <c r="AH98" s="15" t="s">
        <v>108</v>
      </c>
      <c r="AI98" s="15" t="s">
        <v>105</v>
      </c>
      <c r="AJ98" s="15" t="s">
        <v>105</v>
      </c>
      <c r="AK98" s="15" t="s">
        <v>102</v>
      </c>
    </row>
    <row r="99" spans="33:37" x14ac:dyDescent="0.4">
      <c r="AG99" s="15" t="s">
        <v>100</v>
      </c>
      <c r="AH99" s="15" t="s">
        <v>108</v>
      </c>
      <c r="AI99" s="15" t="s">
        <v>105</v>
      </c>
      <c r="AJ99" s="57" t="s">
        <v>112</v>
      </c>
      <c r="AK99" s="15" t="s">
        <v>102</v>
      </c>
    </row>
    <row r="100" spans="33:37" x14ac:dyDescent="0.4">
      <c r="AG100" s="15" t="s">
        <v>100</v>
      </c>
      <c r="AH100" s="15" t="s">
        <v>108</v>
      </c>
      <c r="AI100" s="15" t="s">
        <v>105</v>
      </c>
      <c r="AJ100" s="15" t="s">
        <v>98</v>
      </c>
      <c r="AK100" s="15" t="s">
        <v>102</v>
      </c>
    </row>
    <row r="101" spans="33:37" x14ac:dyDescent="0.4">
      <c r="AG101" s="15" t="s">
        <v>100</v>
      </c>
      <c r="AH101" s="15" t="s">
        <v>108</v>
      </c>
      <c r="AI101" s="57" t="s">
        <v>112</v>
      </c>
      <c r="AJ101" s="15" t="s">
        <v>101</v>
      </c>
      <c r="AK101" s="15" t="s">
        <v>102</v>
      </c>
    </row>
    <row r="102" spans="33:37" x14ac:dyDescent="0.4">
      <c r="AG102" s="15" t="s">
        <v>100</v>
      </c>
      <c r="AH102" s="15" t="s">
        <v>108</v>
      </c>
      <c r="AI102" s="57" t="s">
        <v>112</v>
      </c>
      <c r="AJ102" s="15" t="s">
        <v>100</v>
      </c>
      <c r="AK102" s="15" t="s">
        <v>102</v>
      </c>
    </row>
    <row r="103" spans="33:37" x14ac:dyDescent="0.4">
      <c r="AG103" s="15" t="s">
        <v>100</v>
      </c>
      <c r="AH103" s="15" t="s">
        <v>108</v>
      </c>
      <c r="AI103" s="57" t="s">
        <v>112</v>
      </c>
      <c r="AJ103" s="15" t="s">
        <v>108</v>
      </c>
      <c r="AK103" s="15" t="s">
        <v>102</v>
      </c>
    </row>
    <row r="104" spans="33:37" x14ac:dyDescent="0.4">
      <c r="AG104" s="15" t="s">
        <v>100</v>
      </c>
      <c r="AH104" s="15" t="s">
        <v>108</v>
      </c>
      <c r="AI104" s="57" t="s">
        <v>112</v>
      </c>
      <c r="AJ104" s="15" t="s">
        <v>105</v>
      </c>
      <c r="AK104" s="15" t="s">
        <v>102</v>
      </c>
    </row>
    <row r="105" spans="33:37" x14ac:dyDescent="0.4">
      <c r="AG105" s="15" t="s">
        <v>100</v>
      </c>
      <c r="AH105" s="15" t="s">
        <v>108</v>
      </c>
      <c r="AI105" s="57" t="s">
        <v>112</v>
      </c>
      <c r="AJ105" s="57" t="s">
        <v>112</v>
      </c>
      <c r="AK105" s="15" t="s">
        <v>102</v>
      </c>
    </row>
    <row r="106" spans="33:37" x14ac:dyDescent="0.4">
      <c r="AG106" s="15" t="s">
        <v>100</v>
      </c>
      <c r="AH106" s="15" t="s">
        <v>108</v>
      </c>
      <c r="AI106" s="57" t="s">
        <v>112</v>
      </c>
      <c r="AJ106" s="15" t="s">
        <v>98</v>
      </c>
      <c r="AK106" s="15" t="s">
        <v>102</v>
      </c>
    </row>
    <row r="107" spans="33:37" x14ac:dyDescent="0.4">
      <c r="AG107" s="15" t="s">
        <v>100</v>
      </c>
      <c r="AH107" s="15" t="s">
        <v>108</v>
      </c>
      <c r="AI107" s="15" t="s">
        <v>98</v>
      </c>
      <c r="AJ107" s="15" t="s">
        <v>101</v>
      </c>
      <c r="AK107" s="15" t="s">
        <v>102</v>
      </c>
    </row>
    <row r="108" spans="33:37" x14ac:dyDescent="0.4">
      <c r="AG108" s="15" t="s">
        <v>100</v>
      </c>
      <c r="AH108" s="15" t="s">
        <v>108</v>
      </c>
      <c r="AI108" s="15" t="s">
        <v>98</v>
      </c>
      <c r="AJ108" s="15" t="s">
        <v>100</v>
      </c>
      <c r="AK108" s="15" t="s">
        <v>102</v>
      </c>
    </row>
    <row r="109" spans="33:37" x14ac:dyDescent="0.4">
      <c r="AG109" s="15" t="s">
        <v>100</v>
      </c>
      <c r="AH109" s="15" t="s">
        <v>108</v>
      </c>
      <c r="AI109" s="15" t="s">
        <v>98</v>
      </c>
      <c r="AJ109" s="15" t="s">
        <v>108</v>
      </c>
      <c r="AK109" s="15" t="s">
        <v>102</v>
      </c>
    </row>
    <row r="110" spans="33:37" x14ac:dyDescent="0.4">
      <c r="AG110" s="15" t="s">
        <v>100</v>
      </c>
      <c r="AH110" s="15" t="s">
        <v>108</v>
      </c>
      <c r="AI110" s="15" t="s">
        <v>98</v>
      </c>
      <c r="AJ110" s="15" t="s">
        <v>105</v>
      </c>
      <c r="AK110" s="15" t="s">
        <v>102</v>
      </c>
    </row>
    <row r="111" spans="33:37" x14ac:dyDescent="0.4">
      <c r="AG111" s="15" t="s">
        <v>100</v>
      </c>
      <c r="AH111" s="15" t="s">
        <v>108</v>
      </c>
      <c r="AI111" s="15" t="s">
        <v>98</v>
      </c>
      <c r="AJ111" s="57" t="s">
        <v>112</v>
      </c>
      <c r="AK111" s="15" t="s">
        <v>102</v>
      </c>
    </row>
    <row r="112" spans="33:37" x14ac:dyDescent="0.4">
      <c r="AG112" s="15" t="s">
        <v>100</v>
      </c>
      <c r="AH112" s="15" t="s">
        <v>108</v>
      </c>
      <c r="AI112" s="15" t="s">
        <v>98</v>
      </c>
      <c r="AJ112" s="15" t="s">
        <v>98</v>
      </c>
      <c r="AK112" s="15" t="s">
        <v>102</v>
      </c>
    </row>
    <row r="113" spans="33:37" x14ac:dyDescent="0.4">
      <c r="AG113" s="15" t="s">
        <v>100</v>
      </c>
      <c r="AH113" s="15" t="s">
        <v>105</v>
      </c>
      <c r="AI113" s="15" t="s">
        <v>101</v>
      </c>
      <c r="AJ113" s="15" t="s">
        <v>101</v>
      </c>
      <c r="AK113" s="15" t="s">
        <v>102</v>
      </c>
    </row>
    <row r="114" spans="33:37" x14ac:dyDescent="0.4">
      <c r="AG114" s="15" t="s">
        <v>100</v>
      </c>
      <c r="AH114" s="15" t="s">
        <v>105</v>
      </c>
      <c r="AI114" s="15" t="s">
        <v>101</v>
      </c>
      <c r="AJ114" s="15" t="s">
        <v>100</v>
      </c>
      <c r="AK114" s="15" t="s">
        <v>102</v>
      </c>
    </row>
    <row r="115" spans="33:37" x14ac:dyDescent="0.4">
      <c r="AG115" s="15" t="s">
        <v>100</v>
      </c>
      <c r="AH115" s="15" t="s">
        <v>105</v>
      </c>
      <c r="AI115" s="15" t="s">
        <v>101</v>
      </c>
      <c r="AJ115" s="15" t="s">
        <v>108</v>
      </c>
      <c r="AK115" s="15" t="s">
        <v>102</v>
      </c>
    </row>
    <row r="116" spans="33:37" x14ac:dyDescent="0.4">
      <c r="AG116" s="15" t="s">
        <v>100</v>
      </c>
      <c r="AH116" s="15" t="s">
        <v>105</v>
      </c>
      <c r="AI116" s="15" t="s">
        <v>101</v>
      </c>
      <c r="AJ116" s="15" t="s">
        <v>105</v>
      </c>
      <c r="AK116" s="15" t="s">
        <v>102</v>
      </c>
    </row>
    <row r="117" spans="33:37" x14ac:dyDescent="0.4">
      <c r="AG117" s="15" t="s">
        <v>100</v>
      </c>
      <c r="AH117" s="15" t="s">
        <v>105</v>
      </c>
      <c r="AI117" s="15" t="s">
        <v>101</v>
      </c>
      <c r="AJ117" s="57" t="s">
        <v>112</v>
      </c>
      <c r="AK117" s="15" t="s">
        <v>102</v>
      </c>
    </row>
    <row r="118" spans="33:37" x14ac:dyDescent="0.4">
      <c r="AG118" s="15" t="s">
        <v>100</v>
      </c>
      <c r="AH118" s="15" t="s">
        <v>105</v>
      </c>
      <c r="AI118" s="15" t="s">
        <v>101</v>
      </c>
      <c r="AJ118" s="15" t="s">
        <v>98</v>
      </c>
      <c r="AK118" s="15" t="s">
        <v>102</v>
      </c>
    </row>
    <row r="119" spans="33:37" x14ac:dyDescent="0.4">
      <c r="AG119" s="15" t="s">
        <v>100</v>
      </c>
      <c r="AH119" s="15" t="s">
        <v>105</v>
      </c>
      <c r="AI119" s="15" t="s">
        <v>100</v>
      </c>
      <c r="AJ119" s="15" t="s">
        <v>101</v>
      </c>
      <c r="AK119" s="15" t="s">
        <v>102</v>
      </c>
    </row>
    <row r="120" spans="33:37" x14ac:dyDescent="0.4">
      <c r="AG120" s="15" t="s">
        <v>100</v>
      </c>
      <c r="AH120" s="15" t="s">
        <v>105</v>
      </c>
      <c r="AI120" s="15" t="s">
        <v>100</v>
      </c>
      <c r="AJ120" s="15" t="s">
        <v>100</v>
      </c>
      <c r="AK120" s="15" t="s">
        <v>102</v>
      </c>
    </row>
    <row r="121" spans="33:37" x14ac:dyDescent="0.4">
      <c r="AG121" s="15" t="s">
        <v>100</v>
      </c>
      <c r="AH121" s="15" t="s">
        <v>105</v>
      </c>
      <c r="AI121" s="15" t="s">
        <v>100</v>
      </c>
      <c r="AJ121" s="15" t="s">
        <v>108</v>
      </c>
      <c r="AK121" s="15" t="s">
        <v>102</v>
      </c>
    </row>
    <row r="122" spans="33:37" x14ac:dyDescent="0.4">
      <c r="AG122" s="15" t="s">
        <v>100</v>
      </c>
      <c r="AH122" s="15" t="s">
        <v>105</v>
      </c>
      <c r="AI122" s="15" t="s">
        <v>100</v>
      </c>
      <c r="AJ122" s="15" t="s">
        <v>105</v>
      </c>
      <c r="AK122" s="15" t="s">
        <v>102</v>
      </c>
    </row>
    <row r="123" spans="33:37" x14ac:dyDescent="0.4">
      <c r="AG123" s="15" t="s">
        <v>100</v>
      </c>
      <c r="AH123" s="15" t="s">
        <v>105</v>
      </c>
      <c r="AI123" s="15" t="s">
        <v>100</v>
      </c>
      <c r="AJ123" s="57" t="s">
        <v>112</v>
      </c>
      <c r="AK123" s="15" t="s">
        <v>102</v>
      </c>
    </row>
    <row r="124" spans="33:37" x14ac:dyDescent="0.4">
      <c r="AG124" s="15" t="s">
        <v>100</v>
      </c>
      <c r="AH124" s="15" t="s">
        <v>105</v>
      </c>
      <c r="AI124" s="15" t="s">
        <v>100</v>
      </c>
      <c r="AJ124" s="15" t="s">
        <v>98</v>
      </c>
      <c r="AK124" s="15" t="s">
        <v>102</v>
      </c>
    </row>
    <row r="125" spans="33:37" x14ac:dyDescent="0.4">
      <c r="AG125" s="15" t="s">
        <v>100</v>
      </c>
      <c r="AH125" s="15" t="s">
        <v>105</v>
      </c>
      <c r="AI125" s="15" t="s">
        <v>108</v>
      </c>
      <c r="AJ125" s="15" t="s">
        <v>101</v>
      </c>
      <c r="AK125" s="15" t="s">
        <v>102</v>
      </c>
    </row>
    <row r="126" spans="33:37" x14ac:dyDescent="0.4">
      <c r="AG126" s="15" t="s">
        <v>100</v>
      </c>
      <c r="AH126" s="15" t="s">
        <v>105</v>
      </c>
      <c r="AI126" s="15" t="s">
        <v>108</v>
      </c>
      <c r="AJ126" s="15" t="s">
        <v>100</v>
      </c>
      <c r="AK126" s="15" t="s">
        <v>102</v>
      </c>
    </row>
    <row r="127" spans="33:37" x14ac:dyDescent="0.4">
      <c r="AG127" s="15" t="s">
        <v>100</v>
      </c>
      <c r="AH127" s="15" t="s">
        <v>105</v>
      </c>
      <c r="AI127" s="15" t="s">
        <v>108</v>
      </c>
      <c r="AJ127" s="15" t="s">
        <v>108</v>
      </c>
      <c r="AK127" s="15" t="s">
        <v>102</v>
      </c>
    </row>
    <row r="128" spans="33:37" x14ac:dyDescent="0.4">
      <c r="AG128" s="15" t="s">
        <v>100</v>
      </c>
      <c r="AH128" s="15" t="s">
        <v>105</v>
      </c>
      <c r="AI128" s="15" t="s">
        <v>108</v>
      </c>
      <c r="AJ128" s="15" t="s">
        <v>105</v>
      </c>
      <c r="AK128" s="15" t="s">
        <v>102</v>
      </c>
    </row>
    <row r="129" spans="33:37" x14ac:dyDescent="0.4">
      <c r="AG129" s="15" t="s">
        <v>100</v>
      </c>
      <c r="AH129" s="15" t="s">
        <v>105</v>
      </c>
      <c r="AI129" s="15" t="s">
        <v>108</v>
      </c>
      <c r="AJ129" s="57" t="s">
        <v>112</v>
      </c>
      <c r="AK129" s="15" t="s">
        <v>102</v>
      </c>
    </row>
    <row r="130" spans="33:37" x14ac:dyDescent="0.4">
      <c r="AG130" s="15" t="s">
        <v>100</v>
      </c>
      <c r="AH130" s="15" t="s">
        <v>105</v>
      </c>
      <c r="AI130" s="15" t="s">
        <v>108</v>
      </c>
      <c r="AJ130" s="15" t="s">
        <v>98</v>
      </c>
      <c r="AK130" s="15" t="s">
        <v>102</v>
      </c>
    </row>
    <row r="131" spans="33:37" x14ac:dyDescent="0.4">
      <c r="AG131" s="15" t="s">
        <v>100</v>
      </c>
      <c r="AH131" s="15" t="s">
        <v>105</v>
      </c>
      <c r="AI131" s="15" t="s">
        <v>105</v>
      </c>
      <c r="AJ131" s="15" t="s">
        <v>101</v>
      </c>
      <c r="AK131" s="15" t="s">
        <v>102</v>
      </c>
    </row>
    <row r="132" spans="33:37" x14ac:dyDescent="0.4">
      <c r="AG132" s="15" t="s">
        <v>100</v>
      </c>
      <c r="AH132" s="15" t="s">
        <v>105</v>
      </c>
      <c r="AI132" s="15" t="s">
        <v>105</v>
      </c>
      <c r="AJ132" s="15" t="s">
        <v>100</v>
      </c>
      <c r="AK132" s="15" t="s">
        <v>102</v>
      </c>
    </row>
    <row r="133" spans="33:37" x14ac:dyDescent="0.4">
      <c r="AG133" s="15" t="s">
        <v>100</v>
      </c>
      <c r="AH133" s="15" t="s">
        <v>105</v>
      </c>
      <c r="AI133" s="15" t="s">
        <v>105</v>
      </c>
      <c r="AJ133" s="15" t="s">
        <v>108</v>
      </c>
      <c r="AK133" s="15" t="s">
        <v>102</v>
      </c>
    </row>
    <row r="134" spans="33:37" x14ac:dyDescent="0.4">
      <c r="AG134" s="15" t="s">
        <v>100</v>
      </c>
      <c r="AH134" s="15" t="s">
        <v>105</v>
      </c>
      <c r="AI134" s="15" t="s">
        <v>105</v>
      </c>
      <c r="AJ134" s="15" t="s">
        <v>105</v>
      </c>
      <c r="AK134" s="15" t="s">
        <v>102</v>
      </c>
    </row>
    <row r="135" spans="33:37" x14ac:dyDescent="0.4">
      <c r="AG135" s="15" t="s">
        <v>100</v>
      </c>
      <c r="AH135" s="15" t="s">
        <v>105</v>
      </c>
      <c r="AI135" s="15" t="s">
        <v>105</v>
      </c>
      <c r="AJ135" s="57" t="s">
        <v>112</v>
      </c>
      <c r="AK135" s="15" t="s">
        <v>102</v>
      </c>
    </row>
    <row r="136" spans="33:37" x14ac:dyDescent="0.4">
      <c r="AG136" s="15" t="s">
        <v>100</v>
      </c>
      <c r="AH136" s="15" t="s">
        <v>105</v>
      </c>
      <c r="AI136" s="15" t="s">
        <v>105</v>
      </c>
      <c r="AJ136" s="15" t="s">
        <v>98</v>
      </c>
      <c r="AK136" s="15" t="s">
        <v>102</v>
      </c>
    </row>
    <row r="137" spans="33:37" x14ac:dyDescent="0.4">
      <c r="AG137" s="15" t="s">
        <v>100</v>
      </c>
      <c r="AH137" s="15" t="s">
        <v>105</v>
      </c>
      <c r="AI137" s="57" t="s">
        <v>112</v>
      </c>
      <c r="AJ137" s="15" t="s">
        <v>101</v>
      </c>
      <c r="AK137" s="15" t="s">
        <v>102</v>
      </c>
    </row>
    <row r="138" spans="33:37" x14ac:dyDescent="0.4">
      <c r="AG138" s="15" t="s">
        <v>100</v>
      </c>
      <c r="AH138" s="15" t="s">
        <v>105</v>
      </c>
      <c r="AI138" s="57" t="s">
        <v>112</v>
      </c>
      <c r="AJ138" s="15" t="s">
        <v>100</v>
      </c>
      <c r="AK138" s="15" t="s">
        <v>102</v>
      </c>
    </row>
    <row r="139" spans="33:37" x14ac:dyDescent="0.4">
      <c r="AG139" s="15" t="s">
        <v>100</v>
      </c>
      <c r="AH139" s="15" t="s">
        <v>105</v>
      </c>
      <c r="AI139" s="57" t="s">
        <v>112</v>
      </c>
      <c r="AJ139" s="15" t="s">
        <v>108</v>
      </c>
      <c r="AK139" s="15" t="s">
        <v>102</v>
      </c>
    </row>
    <row r="140" spans="33:37" x14ac:dyDescent="0.4">
      <c r="AG140" s="15" t="s">
        <v>100</v>
      </c>
      <c r="AH140" s="15" t="s">
        <v>105</v>
      </c>
      <c r="AI140" s="57" t="s">
        <v>112</v>
      </c>
      <c r="AJ140" s="15" t="s">
        <v>105</v>
      </c>
      <c r="AK140" s="15" t="s">
        <v>102</v>
      </c>
    </row>
    <row r="141" spans="33:37" x14ac:dyDescent="0.4">
      <c r="AG141" s="15" t="s">
        <v>100</v>
      </c>
      <c r="AH141" s="15" t="s">
        <v>105</v>
      </c>
      <c r="AI141" s="57" t="s">
        <v>112</v>
      </c>
      <c r="AJ141" s="57" t="s">
        <v>112</v>
      </c>
      <c r="AK141" s="15" t="s">
        <v>102</v>
      </c>
    </row>
    <row r="142" spans="33:37" x14ac:dyDescent="0.4">
      <c r="AG142" s="15" t="s">
        <v>100</v>
      </c>
      <c r="AH142" s="15" t="s">
        <v>105</v>
      </c>
      <c r="AI142" s="57" t="s">
        <v>112</v>
      </c>
      <c r="AJ142" s="15" t="s">
        <v>98</v>
      </c>
      <c r="AK142" s="15" t="s">
        <v>102</v>
      </c>
    </row>
    <row r="143" spans="33:37" x14ac:dyDescent="0.4">
      <c r="AG143" s="15" t="s">
        <v>100</v>
      </c>
      <c r="AH143" s="15" t="s">
        <v>105</v>
      </c>
      <c r="AI143" s="15" t="s">
        <v>98</v>
      </c>
      <c r="AJ143" s="15" t="s">
        <v>101</v>
      </c>
      <c r="AK143" s="15" t="s">
        <v>102</v>
      </c>
    </row>
    <row r="144" spans="33:37" x14ac:dyDescent="0.4">
      <c r="AG144" s="15" t="s">
        <v>100</v>
      </c>
      <c r="AH144" s="15" t="s">
        <v>105</v>
      </c>
      <c r="AI144" s="15" t="s">
        <v>98</v>
      </c>
      <c r="AJ144" s="15" t="s">
        <v>100</v>
      </c>
      <c r="AK144" s="15" t="s">
        <v>102</v>
      </c>
    </row>
    <row r="145" spans="33:37" x14ac:dyDescent="0.4">
      <c r="AG145" s="15" t="s">
        <v>100</v>
      </c>
      <c r="AH145" s="15" t="s">
        <v>105</v>
      </c>
      <c r="AI145" s="15" t="s">
        <v>98</v>
      </c>
      <c r="AJ145" s="15" t="s">
        <v>108</v>
      </c>
      <c r="AK145" s="15" t="s">
        <v>102</v>
      </c>
    </row>
    <row r="146" spans="33:37" x14ac:dyDescent="0.4">
      <c r="AG146" s="15" t="s">
        <v>100</v>
      </c>
      <c r="AH146" s="15" t="s">
        <v>105</v>
      </c>
      <c r="AI146" s="15" t="s">
        <v>98</v>
      </c>
      <c r="AJ146" s="15" t="s">
        <v>105</v>
      </c>
      <c r="AK146" s="15" t="s">
        <v>102</v>
      </c>
    </row>
    <row r="147" spans="33:37" x14ac:dyDescent="0.4">
      <c r="AG147" s="15" t="s">
        <v>100</v>
      </c>
      <c r="AH147" s="15" t="s">
        <v>105</v>
      </c>
      <c r="AI147" s="15" t="s">
        <v>98</v>
      </c>
      <c r="AJ147" s="57" t="s">
        <v>112</v>
      </c>
      <c r="AK147" s="15" t="s">
        <v>102</v>
      </c>
    </row>
    <row r="148" spans="33:37" x14ac:dyDescent="0.4">
      <c r="AG148" s="15" t="s">
        <v>100</v>
      </c>
      <c r="AH148" s="15" t="s">
        <v>105</v>
      </c>
      <c r="AI148" s="15" t="s">
        <v>98</v>
      </c>
      <c r="AJ148" s="15" t="s">
        <v>98</v>
      </c>
      <c r="AK148" s="15" t="s">
        <v>102</v>
      </c>
    </row>
    <row r="149" spans="33:37" x14ac:dyDescent="0.4">
      <c r="AG149" s="15" t="s">
        <v>100</v>
      </c>
      <c r="AH149" s="57" t="s">
        <v>112</v>
      </c>
      <c r="AI149" s="15" t="s">
        <v>101</v>
      </c>
      <c r="AJ149" s="15" t="s">
        <v>101</v>
      </c>
      <c r="AK149" s="15" t="s">
        <v>102</v>
      </c>
    </row>
    <row r="150" spans="33:37" x14ac:dyDescent="0.4">
      <c r="AG150" s="15" t="s">
        <v>100</v>
      </c>
      <c r="AH150" s="57" t="s">
        <v>112</v>
      </c>
      <c r="AI150" s="15" t="s">
        <v>101</v>
      </c>
      <c r="AJ150" s="15" t="s">
        <v>100</v>
      </c>
      <c r="AK150" s="15" t="s">
        <v>102</v>
      </c>
    </row>
    <row r="151" spans="33:37" x14ac:dyDescent="0.4">
      <c r="AG151" s="15" t="s">
        <v>100</v>
      </c>
      <c r="AH151" s="57" t="s">
        <v>112</v>
      </c>
      <c r="AI151" s="15" t="s">
        <v>101</v>
      </c>
      <c r="AJ151" s="15" t="s">
        <v>108</v>
      </c>
      <c r="AK151" s="15" t="s">
        <v>102</v>
      </c>
    </row>
    <row r="152" spans="33:37" x14ac:dyDescent="0.4">
      <c r="AG152" s="15" t="s">
        <v>100</v>
      </c>
      <c r="AH152" s="57" t="s">
        <v>112</v>
      </c>
      <c r="AI152" s="15" t="s">
        <v>101</v>
      </c>
      <c r="AJ152" s="15" t="s">
        <v>105</v>
      </c>
      <c r="AK152" s="15" t="s">
        <v>102</v>
      </c>
    </row>
    <row r="153" spans="33:37" x14ac:dyDescent="0.4">
      <c r="AG153" s="15" t="s">
        <v>100</v>
      </c>
      <c r="AH153" s="57" t="s">
        <v>112</v>
      </c>
      <c r="AI153" s="15" t="s">
        <v>101</v>
      </c>
      <c r="AJ153" s="57" t="s">
        <v>112</v>
      </c>
      <c r="AK153" s="15" t="s">
        <v>102</v>
      </c>
    </row>
    <row r="154" spans="33:37" x14ac:dyDescent="0.4">
      <c r="AG154" s="15" t="s">
        <v>100</v>
      </c>
      <c r="AH154" s="57" t="s">
        <v>112</v>
      </c>
      <c r="AI154" s="15" t="s">
        <v>101</v>
      </c>
      <c r="AJ154" s="15" t="s">
        <v>98</v>
      </c>
      <c r="AK154" s="15" t="s">
        <v>102</v>
      </c>
    </row>
    <row r="155" spans="33:37" x14ac:dyDescent="0.4">
      <c r="AG155" s="15" t="s">
        <v>100</v>
      </c>
      <c r="AH155" s="57" t="s">
        <v>112</v>
      </c>
      <c r="AI155" s="15" t="s">
        <v>100</v>
      </c>
      <c r="AJ155" s="15" t="s">
        <v>101</v>
      </c>
      <c r="AK155" s="15" t="s">
        <v>102</v>
      </c>
    </row>
    <row r="156" spans="33:37" x14ac:dyDescent="0.4">
      <c r="AG156" s="15" t="s">
        <v>100</v>
      </c>
      <c r="AH156" s="57" t="s">
        <v>112</v>
      </c>
      <c r="AI156" s="15" t="s">
        <v>100</v>
      </c>
      <c r="AJ156" s="15" t="s">
        <v>100</v>
      </c>
      <c r="AK156" s="15" t="s">
        <v>102</v>
      </c>
    </row>
    <row r="157" spans="33:37" x14ac:dyDescent="0.4">
      <c r="AG157" s="15" t="s">
        <v>100</v>
      </c>
      <c r="AH157" s="57" t="s">
        <v>112</v>
      </c>
      <c r="AI157" s="15" t="s">
        <v>100</v>
      </c>
      <c r="AJ157" s="15" t="s">
        <v>108</v>
      </c>
      <c r="AK157" s="15" t="s">
        <v>102</v>
      </c>
    </row>
    <row r="158" spans="33:37" x14ac:dyDescent="0.4">
      <c r="AG158" s="15" t="s">
        <v>100</v>
      </c>
      <c r="AH158" s="57" t="s">
        <v>112</v>
      </c>
      <c r="AI158" s="15" t="s">
        <v>100</v>
      </c>
      <c r="AJ158" s="15" t="s">
        <v>105</v>
      </c>
      <c r="AK158" s="15" t="s">
        <v>102</v>
      </c>
    </row>
    <row r="159" spans="33:37" x14ac:dyDescent="0.4">
      <c r="AG159" s="15" t="s">
        <v>100</v>
      </c>
      <c r="AH159" s="57" t="s">
        <v>112</v>
      </c>
      <c r="AI159" s="15" t="s">
        <v>100</v>
      </c>
      <c r="AJ159" s="57" t="s">
        <v>112</v>
      </c>
      <c r="AK159" s="15" t="s">
        <v>102</v>
      </c>
    </row>
    <row r="160" spans="33:37" x14ac:dyDescent="0.4">
      <c r="AG160" s="15" t="s">
        <v>100</v>
      </c>
      <c r="AH160" s="57" t="s">
        <v>112</v>
      </c>
      <c r="AI160" s="15" t="s">
        <v>100</v>
      </c>
      <c r="AJ160" s="15" t="s">
        <v>98</v>
      </c>
      <c r="AK160" s="15" t="s">
        <v>102</v>
      </c>
    </row>
    <row r="161" spans="33:37" x14ac:dyDescent="0.4">
      <c r="AG161" s="15" t="s">
        <v>100</v>
      </c>
      <c r="AH161" s="57" t="s">
        <v>112</v>
      </c>
      <c r="AI161" s="15" t="s">
        <v>108</v>
      </c>
      <c r="AJ161" s="15" t="s">
        <v>101</v>
      </c>
      <c r="AK161" s="15" t="s">
        <v>102</v>
      </c>
    </row>
    <row r="162" spans="33:37" x14ac:dyDescent="0.4">
      <c r="AG162" s="15" t="s">
        <v>100</v>
      </c>
      <c r="AH162" s="57" t="s">
        <v>112</v>
      </c>
      <c r="AI162" s="15" t="s">
        <v>108</v>
      </c>
      <c r="AJ162" s="15" t="s">
        <v>100</v>
      </c>
      <c r="AK162" s="15" t="s">
        <v>102</v>
      </c>
    </row>
    <row r="163" spans="33:37" x14ac:dyDescent="0.4">
      <c r="AG163" s="15" t="s">
        <v>100</v>
      </c>
      <c r="AH163" s="57" t="s">
        <v>112</v>
      </c>
      <c r="AI163" s="15" t="s">
        <v>108</v>
      </c>
      <c r="AJ163" s="15" t="s">
        <v>108</v>
      </c>
      <c r="AK163" s="15" t="s">
        <v>102</v>
      </c>
    </row>
    <row r="164" spans="33:37" x14ac:dyDescent="0.4">
      <c r="AG164" s="15" t="s">
        <v>100</v>
      </c>
      <c r="AH164" s="57" t="s">
        <v>112</v>
      </c>
      <c r="AI164" s="15" t="s">
        <v>108</v>
      </c>
      <c r="AJ164" s="15" t="s">
        <v>105</v>
      </c>
      <c r="AK164" s="15" t="s">
        <v>102</v>
      </c>
    </row>
    <row r="165" spans="33:37" x14ac:dyDescent="0.4">
      <c r="AG165" s="15" t="s">
        <v>100</v>
      </c>
      <c r="AH165" s="57" t="s">
        <v>112</v>
      </c>
      <c r="AI165" s="15" t="s">
        <v>108</v>
      </c>
      <c r="AJ165" s="57" t="s">
        <v>112</v>
      </c>
      <c r="AK165" s="15" t="s">
        <v>102</v>
      </c>
    </row>
    <row r="166" spans="33:37" x14ac:dyDescent="0.4">
      <c r="AG166" s="15" t="s">
        <v>100</v>
      </c>
      <c r="AH166" s="57" t="s">
        <v>112</v>
      </c>
      <c r="AI166" s="15" t="s">
        <v>108</v>
      </c>
      <c r="AJ166" s="15" t="s">
        <v>98</v>
      </c>
      <c r="AK166" s="15" t="s">
        <v>102</v>
      </c>
    </row>
    <row r="167" spans="33:37" x14ac:dyDescent="0.4">
      <c r="AG167" s="15" t="s">
        <v>100</v>
      </c>
      <c r="AH167" s="57" t="s">
        <v>112</v>
      </c>
      <c r="AI167" s="15" t="s">
        <v>105</v>
      </c>
      <c r="AJ167" s="15" t="s">
        <v>101</v>
      </c>
      <c r="AK167" s="15" t="s">
        <v>102</v>
      </c>
    </row>
    <row r="168" spans="33:37" x14ac:dyDescent="0.4">
      <c r="AG168" s="15" t="s">
        <v>100</v>
      </c>
      <c r="AH168" s="57" t="s">
        <v>112</v>
      </c>
      <c r="AI168" s="15" t="s">
        <v>105</v>
      </c>
      <c r="AJ168" s="15" t="s">
        <v>100</v>
      </c>
      <c r="AK168" s="15" t="s">
        <v>102</v>
      </c>
    </row>
    <row r="169" spans="33:37" x14ac:dyDescent="0.4">
      <c r="AG169" s="15" t="s">
        <v>100</v>
      </c>
      <c r="AH169" s="57" t="s">
        <v>112</v>
      </c>
      <c r="AI169" s="15" t="s">
        <v>105</v>
      </c>
      <c r="AJ169" s="15" t="s">
        <v>108</v>
      </c>
      <c r="AK169" s="15" t="s">
        <v>102</v>
      </c>
    </row>
    <row r="170" spans="33:37" x14ac:dyDescent="0.4">
      <c r="AG170" s="15" t="s">
        <v>100</v>
      </c>
      <c r="AH170" s="57" t="s">
        <v>112</v>
      </c>
      <c r="AI170" s="15" t="s">
        <v>105</v>
      </c>
      <c r="AJ170" s="15" t="s">
        <v>105</v>
      </c>
      <c r="AK170" s="15" t="s">
        <v>102</v>
      </c>
    </row>
    <row r="171" spans="33:37" x14ac:dyDescent="0.4">
      <c r="AG171" s="15" t="s">
        <v>100</v>
      </c>
      <c r="AH171" s="57" t="s">
        <v>112</v>
      </c>
      <c r="AI171" s="15" t="s">
        <v>105</v>
      </c>
      <c r="AJ171" s="57" t="s">
        <v>112</v>
      </c>
      <c r="AK171" s="15" t="s">
        <v>102</v>
      </c>
    </row>
    <row r="172" spans="33:37" x14ac:dyDescent="0.4">
      <c r="AG172" s="15" t="s">
        <v>100</v>
      </c>
      <c r="AH172" s="57" t="s">
        <v>112</v>
      </c>
      <c r="AI172" s="15" t="s">
        <v>105</v>
      </c>
      <c r="AJ172" s="15" t="s">
        <v>98</v>
      </c>
      <c r="AK172" s="15" t="s">
        <v>102</v>
      </c>
    </row>
    <row r="173" spans="33:37" x14ac:dyDescent="0.4">
      <c r="AG173" s="15" t="s">
        <v>100</v>
      </c>
      <c r="AH173" s="57" t="s">
        <v>112</v>
      </c>
      <c r="AI173" s="57" t="s">
        <v>112</v>
      </c>
      <c r="AJ173" s="15" t="s">
        <v>101</v>
      </c>
      <c r="AK173" s="15" t="s">
        <v>102</v>
      </c>
    </row>
    <row r="174" spans="33:37" x14ac:dyDescent="0.4">
      <c r="AG174" s="15" t="s">
        <v>100</v>
      </c>
      <c r="AH174" s="57" t="s">
        <v>112</v>
      </c>
      <c r="AI174" s="57" t="s">
        <v>112</v>
      </c>
      <c r="AJ174" s="15" t="s">
        <v>100</v>
      </c>
      <c r="AK174" s="15" t="s">
        <v>102</v>
      </c>
    </row>
    <row r="175" spans="33:37" x14ac:dyDescent="0.4">
      <c r="AG175" s="15" t="s">
        <v>100</v>
      </c>
      <c r="AH175" s="57" t="s">
        <v>112</v>
      </c>
      <c r="AI175" s="57" t="s">
        <v>112</v>
      </c>
      <c r="AJ175" s="15" t="s">
        <v>108</v>
      </c>
      <c r="AK175" s="15" t="s">
        <v>102</v>
      </c>
    </row>
    <row r="176" spans="33:37" x14ac:dyDescent="0.4">
      <c r="AG176" s="15" t="s">
        <v>100</v>
      </c>
      <c r="AH176" s="57" t="s">
        <v>112</v>
      </c>
      <c r="AI176" s="57" t="s">
        <v>112</v>
      </c>
      <c r="AJ176" s="15" t="s">
        <v>105</v>
      </c>
      <c r="AK176" s="15" t="s">
        <v>102</v>
      </c>
    </row>
    <row r="177" spans="33:37" x14ac:dyDescent="0.4">
      <c r="AG177" s="15" t="s">
        <v>100</v>
      </c>
      <c r="AH177" s="57" t="s">
        <v>112</v>
      </c>
      <c r="AI177" s="57" t="s">
        <v>112</v>
      </c>
      <c r="AJ177" s="57" t="s">
        <v>112</v>
      </c>
      <c r="AK177" s="15" t="s">
        <v>102</v>
      </c>
    </row>
    <row r="178" spans="33:37" x14ac:dyDescent="0.4">
      <c r="AG178" s="15" t="s">
        <v>100</v>
      </c>
      <c r="AH178" s="57" t="s">
        <v>112</v>
      </c>
      <c r="AI178" s="57" t="s">
        <v>112</v>
      </c>
      <c r="AJ178" s="15" t="s">
        <v>98</v>
      </c>
      <c r="AK178" s="15" t="s">
        <v>102</v>
      </c>
    </row>
    <row r="179" spans="33:37" x14ac:dyDescent="0.4">
      <c r="AG179" s="15" t="s">
        <v>100</v>
      </c>
      <c r="AH179" s="57" t="s">
        <v>112</v>
      </c>
      <c r="AI179" s="15" t="s">
        <v>98</v>
      </c>
      <c r="AJ179" s="15" t="s">
        <v>101</v>
      </c>
      <c r="AK179" s="15" t="s">
        <v>102</v>
      </c>
    </row>
    <row r="180" spans="33:37" x14ac:dyDescent="0.4">
      <c r="AG180" s="15" t="s">
        <v>100</v>
      </c>
      <c r="AH180" s="57" t="s">
        <v>112</v>
      </c>
      <c r="AI180" s="15" t="s">
        <v>98</v>
      </c>
      <c r="AJ180" s="15" t="s">
        <v>100</v>
      </c>
      <c r="AK180" s="15" t="s">
        <v>102</v>
      </c>
    </row>
    <row r="181" spans="33:37" x14ac:dyDescent="0.4">
      <c r="AG181" s="15" t="s">
        <v>100</v>
      </c>
      <c r="AH181" s="57" t="s">
        <v>112</v>
      </c>
      <c r="AI181" s="15" t="s">
        <v>98</v>
      </c>
      <c r="AJ181" s="15" t="s">
        <v>108</v>
      </c>
      <c r="AK181" s="15" t="s">
        <v>102</v>
      </c>
    </row>
    <row r="182" spans="33:37" x14ac:dyDescent="0.4">
      <c r="AG182" s="15" t="s">
        <v>100</v>
      </c>
      <c r="AH182" s="57" t="s">
        <v>112</v>
      </c>
      <c r="AI182" s="15" t="s">
        <v>98</v>
      </c>
      <c r="AJ182" s="15" t="s">
        <v>105</v>
      </c>
      <c r="AK182" s="15" t="s">
        <v>102</v>
      </c>
    </row>
    <row r="183" spans="33:37" x14ac:dyDescent="0.4">
      <c r="AG183" s="15" t="s">
        <v>100</v>
      </c>
      <c r="AH183" s="57" t="s">
        <v>112</v>
      </c>
      <c r="AI183" s="15" t="s">
        <v>98</v>
      </c>
      <c r="AJ183" s="57" t="s">
        <v>112</v>
      </c>
      <c r="AK183" s="15" t="s">
        <v>102</v>
      </c>
    </row>
    <row r="184" spans="33:37" x14ac:dyDescent="0.4">
      <c r="AG184" s="15" t="s">
        <v>100</v>
      </c>
      <c r="AH184" s="57" t="s">
        <v>112</v>
      </c>
      <c r="AI184" s="15" t="s">
        <v>98</v>
      </c>
      <c r="AJ184" s="15" t="s">
        <v>98</v>
      </c>
      <c r="AK184" s="15" t="s">
        <v>102</v>
      </c>
    </row>
    <row r="185" spans="33:37" x14ac:dyDescent="0.4">
      <c r="AG185" s="15" t="s">
        <v>100</v>
      </c>
      <c r="AH185" s="15" t="s">
        <v>98</v>
      </c>
      <c r="AI185" s="15" t="s">
        <v>101</v>
      </c>
      <c r="AJ185" s="15" t="s">
        <v>101</v>
      </c>
      <c r="AK185" s="15" t="s">
        <v>102</v>
      </c>
    </row>
    <row r="186" spans="33:37" x14ac:dyDescent="0.4">
      <c r="AG186" s="15" t="s">
        <v>100</v>
      </c>
      <c r="AH186" s="15" t="s">
        <v>98</v>
      </c>
      <c r="AI186" s="15" t="s">
        <v>101</v>
      </c>
      <c r="AJ186" s="15" t="s">
        <v>100</v>
      </c>
      <c r="AK186" s="15" t="s">
        <v>102</v>
      </c>
    </row>
    <row r="187" spans="33:37" x14ac:dyDescent="0.4">
      <c r="AG187" s="15" t="s">
        <v>100</v>
      </c>
      <c r="AH187" s="15" t="s">
        <v>98</v>
      </c>
      <c r="AI187" s="15" t="s">
        <v>101</v>
      </c>
      <c r="AJ187" s="15" t="s">
        <v>108</v>
      </c>
      <c r="AK187" s="15" t="s">
        <v>102</v>
      </c>
    </row>
    <row r="188" spans="33:37" x14ac:dyDescent="0.4">
      <c r="AG188" s="15" t="s">
        <v>100</v>
      </c>
      <c r="AH188" s="15" t="s">
        <v>98</v>
      </c>
      <c r="AI188" s="15" t="s">
        <v>101</v>
      </c>
      <c r="AJ188" s="15" t="s">
        <v>105</v>
      </c>
      <c r="AK188" s="15" t="s">
        <v>102</v>
      </c>
    </row>
    <row r="189" spans="33:37" x14ac:dyDescent="0.4">
      <c r="AG189" s="15" t="s">
        <v>100</v>
      </c>
      <c r="AH189" s="15" t="s">
        <v>98</v>
      </c>
      <c r="AI189" s="15" t="s">
        <v>101</v>
      </c>
      <c r="AJ189" s="57" t="s">
        <v>112</v>
      </c>
      <c r="AK189" s="15" t="s">
        <v>102</v>
      </c>
    </row>
    <row r="190" spans="33:37" x14ac:dyDescent="0.4">
      <c r="AG190" s="15" t="s">
        <v>100</v>
      </c>
      <c r="AH190" s="15" t="s">
        <v>98</v>
      </c>
      <c r="AI190" s="15" t="s">
        <v>101</v>
      </c>
      <c r="AJ190" s="15" t="s">
        <v>98</v>
      </c>
      <c r="AK190" s="15" t="s">
        <v>102</v>
      </c>
    </row>
    <row r="191" spans="33:37" x14ac:dyDescent="0.4">
      <c r="AG191" s="15" t="s">
        <v>100</v>
      </c>
      <c r="AH191" s="15" t="s">
        <v>98</v>
      </c>
      <c r="AI191" s="15" t="s">
        <v>100</v>
      </c>
      <c r="AJ191" s="15" t="s">
        <v>101</v>
      </c>
      <c r="AK191" s="15" t="s">
        <v>102</v>
      </c>
    </row>
    <row r="192" spans="33:37" x14ac:dyDescent="0.4">
      <c r="AG192" s="15" t="s">
        <v>100</v>
      </c>
      <c r="AH192" s="15" t="s">
        <v>98</v>
      </c>
      <c r="AI192" s="15" t="s">
        <v>100</v>
      </c>
      <c r="AJ192" s="15" t="s">
        <v>100</v>
      </c>
      <c r="AK192" s="15" t="s">
        <v>102</v>
      </c>
    </row>
    <row r="193" spans="33:37" x14ac:dyDescent="0.4">
      <c r="AG193" s="15" t="s">
        <v>100</v>
      </c>
      <c r="AH193" s="15" t="s">
        <v>98</v>
      </c>
      <c r="AI193" s="15" t="s">
        <v>100</v>
      </c>
      <c r="AJ193" s="15" t="s">
        <v>108</v>
      </c>
      <c r="AK193" s="15" t="s">
        <v>102</v>
      </c>
    </row>
    <row r="194" spans="33:37" x14ac:dyDescent="0.4">
      <c r="AG194" s="15" t="s">
        <v>100</v>
      </c>
      <c r="AH194" s="15" t="s">
        <v>98</v>
      </c>
      <c r="AI194" s="15" t="s">
        <v>100</v>
      </c>
      <c r="AJ194" s="15" t="s">
        <v>105</v>
      </c>
      <c r="AK194" s="15" t="s">
        <v>102</v>
      </c>
    </row>
    <row r="195" spans="33:37" x14ac:dyDescent="0.4">
      <c r="AG195" s="15" t="s">
        <v>100</v>
      </c>
      <c r="AH195" s="15" t="s">
        <v>98</v>
      </c>
      <c r="AI195" s="15" t="s">
        <v>100</v>
      </c>
      <c r="AJ195" s="57" t="s">
        <v>112</v>
      </c>
      <c r="AK195" s="15" t="s">
        <v>102</v>
      </c>
    </row>
    <row r="196" spans="33:37" x14ac:dyDescent="0.4">
      <c r="AG196" s="15" t="s">
        <v>100</v>
      </c>
      <c r="AH196" s="15" t="s">
        <v>98</v>
      </c>
      <c r="AI196" s="15" t="s">
        <v>100</v>
      </c>
      <c r="AJ196" s="15" t="s">
        <v>98</v>
      </c>
      <c r="AK196" s="15" t="s">
        <v>102</v>
      </c>
    </row>
    <row r="197" spans="33:37" x14ac:dyDescent="0.4">
      <c r="AG197" s="15" t="s">
        <v>100</v>
      </c>
      <c r="AH197" s="15" t="s">
        <v>98</v>
      </c>
      <c r="AI197" s="15" t="s">
        <v>108</v>
      </c>
      <c r="AJ197" s="15" t="s">
        <v>101</v>
      </c>
      <c r="AK197" s="15" t="s">
        <v>102</v>
      </c>
    </row>
    <row r="198" spans="33:37" x14ac:dyDescent="0.4">
      <c r="AG198" s="15" t="s">
        <v>100</v>
      </c>
      <c r="AH198" s="15" t="s">
        <v>98</v>
      </c>
      <c r="AI198" s="15" t="s">
        <v>108</v>
      </c>
      <c r="AJ198" s="15" t="s">
        <v>100</v>
      </c>
      <c r="AK198" s="15" t="s">
        <v>102</v>
      </c>
    </row>
    <row r="199" spans="33:37" x14ac:dyDescent="0.4">
      <c r="AG199" s="15" t="s">
        <v>100</v>
      </c>
      <c r="AH199" s="15" t="s">
        <v>98</v>
      </c>
      <c r="AI199" s="15" t="s">
        <v>108</v>
      </c>
      <c r="AJ199" s="15" t="s">
        <v>108</v>
      </c>
      <c r="AK199" s="15" t="s">
        <v>102</v>
      </c>
    </row>
    <row r="200" spans="33:37" x14ac:dyDescent="0.4">
      <c r="AG200" s="15" t="s">
        <v>100</v>
      </c>
      <c r="AH200" s="15" t="s">
        <v>98</v>
      </c>
      <c r="AI200" s="15" t="s">
        <v>108</v>
      </c>
      <c r="AJ200" s="15" t="s">
        <v>105</v>
      </c>
      <c r="AK200" s="15" t="s">
        <v>102</v>
      </c>
    </row>
    <row r="201" spans="33:37" x14ac:dyDescent="0.4">
      <c r="AG201" s="15" t="s">
        <v>100</v>
      </c>
      <c r="AH201" s="15" t="s">
        <v>98</v>
      </c>
      <c r="AI201" s="15" t="s">
        <v>108</v>
      </c>
      <c r="AJ201" s="57" t="s">
        <v>112</v>
      </c>
      <c r="AK201" s="15" t="s">
        <v>102</v>
      </c>
    </row>
    <row r="202" spans="33:37" x14ac:dyDescent="0.4">
      <c r="AG202" s="15" t="s">
        <v>100</v>
      </c>
      <c r="AH202" s="15" t="s">
        <v>98</v>
      </c>
      <c r="AI202" s="15" t="s">
        <v>108</v>
      </c>
      <c r="AJ202" s="15" t="s">
        <v>98</v>
      </c>
      <c r="AK202" s="15" t="s">
        <v>102</v>
      </c>
    </row>
    <row r="203" spans="33:37" x14ac:dyDescent="0.4">
      <c r="AG203" s="15" t="s">
        <v>100</v>
      </c>
      <c r="AH203" s="15" t="s">
        <v>98</v>
      </c>
      <c r="AI203" s="15" t="s">
        <v>105</v>
      </c>
      <c r="AJ203" s="15" t="s">
        <v>101</v>
      </c>
      <c r="AK203" s="15" t="s">
        <v>102</v>
      </c>
    </row>
    <row r="204" spans="33:37" x14ac:dyDescent="0.4">
      <c r="AG204" s="15" t="s">
        <v>100</v>
      </c>
      <c r="AH204" s="15" t="s">
        <v>98</v>
      </c>
      <c r="AI204" s="15" t="s">
        <v>105</v>
      </c>
      <c r="AJ204" s="15" t="s">
        <v>100</v>
      </c>
      <c r="AK204" s="15" t="s">
        <v>102</v>
      </c>
    </row>
    <row r="205" spans="33:37" x14ac:dyDescent="0.4">
      <c r="AG205" s="15" t="s">
        <v>100</v>
      </c>
      <c r="AH205" s="15" t="s">
        <v>98</v>
      </c>
      <c r="AI205" s="15" t="s">
        <v>105</v>
      </c>
      <c r="AJ205" s="15" t="s">
        <v>108</v>
      </c>
      <c r="AK205" s="15" t="s">
        <v>102</v>
      </c>
    </row>
    <row r="206" spans="33:37" x14ac:dyDescent="0.4">
      <c r="AG206" s="15" t="s">
        <v>100</v>
      </c>
      <c r="AH206" s="15" t="s">
        <v>98</v>
      </c>
      <c r="AI206" s="15" t="s">
        <v>105</v>
      </c>
      <c r="AJ206" s="15" t="s">
        <v>105</v>
      </c>
      <c r="AK206" s="15" t="s">
        <v>102</v>
      </c>
    </row>
    <row r="207" spans="33:37" x14ac:dyDescent="0.4">
      <c r="AG207" s="15" t="s">
        <v>100</v>
      </c>
      <c r="AH207" s="15" t="s">
        <v>98</v>
      </c>
      <c r="AI207" s="15" t="s">
        <v>105</v>
      </c>
      <c r="AJ207" s="57" t="s">
        <v>112</v>
      </c>
      <c r="AK207" s="15" t="s">
        <v>102</v>
      </c>
    </row>
    <row r="208" spans="33:37" x14ac:dyDescent="0.4">
      <c r="AG208" s="15" t="s">
        <v>100</v>
      </c>
      <c r="AH208" s="15" t="s">
        <v>98</v>
      </c>
      <c r="AI208" s="15" t="s">
        <v>105</v>
      </c>
      <c r="AJ208" s="15" t="s">
        <v>98</v>
      </c>
      <c r="AK208" s="15" t="s">
        <v>102</v>
      </c>
    </row>
    <row r="209" spans="33:37" x14ac:dyDescent="0.4">
      <c r="AG209" s="15" t="s">
        <v>100</v>
      </c>
      <c r="AH209" s="15" t="s">
        <v>98</v>
      </c>
      <c r="AI209" s="57" t="s">
        <v>112</v>
      </c>
      <c r="AJ209" s="15" t="s">
        <v>101</v>
      </c>
      <c r="AK209" s="15" t="s">
        <v>102</v>
      </c>
    </row>
    <row r="210" spans="33:37" x14ac:dyDescent="0.4">
      <c r="AG210" s="15" t="s">
        <v>100</v>
      </c>
      <c r="AH210" s="15" t="s">
        <v>98</v>
      </c>
      <c r="AI210" s="57" t="s">
        <v>112</v>
      </c>
      <c r="AJ210" s="15" t="s">
        <v>100</v>
      </c>
      <c r="AK210" s="15" t="s">
        <v>102</v>
      </c>
    </row>
    <row r="211" spans="33:37" x14ac:dyDescent="0.4">
      <c r="AG211" s="15" t="s">
        <v>100</v>
      </c>
      <c r="AH211" s="15" t="s">
        <v>98</v>
      </c>
      <c r="AI211" s="57" t="s">
        <v>112</v>
      </c>
      <c r="AJ211" s="15" t="s">
        <v>108</v>
      </c>
      <c r="AK211" s="15" t="s">
        <v>102</v>
      </c>
    </row>
    <row r="212" spans="33:37" x14ac:dyDescent="0.4">
      <c r="AG212" s="15" t="s">
        <v>100</v>
      </c>
      <c r="AH212" s="15" t="s">
        <v>98</v>
      </c>
      <c r="AI212" s="57" t="s">
        <v>112</v>
      </c>
      <c r="AJ212" s="15" t="s">
        <v>105</v>
      </c>
      <c r="AK212" s="15" t="s">
        <v>102</v>
      </c>
    </row>
    <row r="213" spans="33:37" x14ac:dyDescent="0.4">
      <c r="AG213" s="15" t="s">
        <v>100</v>
      </c>
      <c r="AH213" s="15" t="s">
        <v>98</v>
      </c>
      <c r="AI213" s="57" t="s">
        <v>112</v>
      </c>
      <c r="AJ213" s="57" t="s">
        <v>112</v>
      </c>
      <c r="AK213" s="15" t="s">
        <v>102</v>
      </c>
    </row>
    <row r="214" spans="33:37" x14ac:dyDescent="0.4">
      <c r="AG214" s="15" t="s">
        <v>100</v>
      </c>
      <c r="AH214" s="15" t="s">
        <v>98</v>
      </c>
      <c r="AI214" s="57" t="s">
        <v>112</v>
      </c>
      <c r="AJ214" s="15" t="s">
        <v>98</v>
      </c>
      <c r="AK214" s="15" t="s">
        <v>102</v>
      </c>
    </row>
    <row r="215" spans="33:37" x14ac:dyDescent="0.4">
      <c r="AG215" s="15" t="s">
        <v>100</v>
      </c>
      <c r="AH215" s="15" t="s">
        <v>98</v>
      </c>
      <c r="AI215" s="15" t="s">
        <v>98</v>
      </c>
      <c r="AJ215" s="15" t="s">
        <v>101</v>
      </c>
      <c r="AK215" s="15" t="s">
        <v>102</v>
      </c>
    </row>
    <row r="216" spans="33:37" x14ac:dyDescent="0.4">
      <c r="AG216" s="15" t="s">
        <v>100</v>
      </c>
      <c r="AH216" s="15" t="s">
        <v>98</v>
      </c>
      <c r="AI216" s="15" t="s">
        <v>98</v>
      </c>
      <c r="AJ216" s="15" t="s">
        <v>100</v>
      </c>
      <c r="AK216" s="15" t="s">
        <v>102</v>
      </c>
    </row>
    <row r="217" spans="33:37" x14ac:dyDescent="0.4">
      <c r="AG217" s="15" t="s">
        <v>100</v>
      </c>
      <c r="AH217" s="15" t="s">
        <v>98</v>
      </c>
      <c r="AI217" s="15" t="s">
        <v>98</v>
      </c>
      <c r="AJ217" s="15" t="s">
        <v>108</v>
      </c>
      <c r="AK217" s="15" t="s">
        <v>102</v>
      </c>
    </row>
    <row r="218" spans="33:37" x14ac:dyDescent="0.4">
      <c r="AG218" s="15" t="s">
        <v>100</v>
      </c>
      <c r="AH218" s="15" t="s">
        <v>98</v>
      </c>
      <c r="AI218" s="15" t="s">
        <v>98</v>
      </c>
      <c r="AJ218" s="15" t="s">
        <v>105</v>
      </c>
      <c r="AK218" s="15" t="s">
        <v>102</v>
      </c>
    </row>
    <row r="219" spans="33:37" x14ac:dyDescent="0.4">
      <c r="AG219" s="15" t="s">
        <v>100</v>
      </c>
      <c r="AH219" s="15" t="s">
        <v>98</v>
      </c>
      <c r="AI219" s="15" t="s">
        <v>98</v>
      </c>
      <c r="AJ219" s="57" t="s">
        <v>112</v>
      </c>
      <c r="AK219" s="15" t="s">
        <v>102</v>
      </c>
    </row>
    <row r="220" spans="33:37" x14ac:dyDescent="0.4">
      <c r="AG220" s="15" t="s">
        <v>100</v>
      </c>
      <c r="AH220" s="15" t="s">
        <v>98</v>
      </c>
      <c r="AI220" s="15" t="s">
        <v>98</v>
      </c>
      <c r="AJ220" s="15" t="s">
        <v>98</v>
      </c>
      <c r="AK220" s="15" t="s">
        <v>102</v>
      </c>
    </row>
    <row r="221" spans="33:37" x14ac:dyDescent="0.4">
      <c r="AG221" s="70" t="s">
        <v>101</v>
      </c>
      <c r="AH221" s="70" t="s">
        <v>101</v>
      </c>
      <c r="AI221" s="70" t="s">
        <v>101</v>
      </c>
      <c r="AJ221" s="70" t="s">
        <v>101</v>
      </c>
      <c r="AK221" s="15" t="s">
        <v>102</v>
      </c>
    </row>
    <row r="222" spans="33:37" x14ac:dyDescent="0.4">
      <c r="AG222" s="70" t="s">
        <v>101</v>
      </c>
      <c r="AH222" s="70" t="s">
        <v>101</v>
      </c>
      <c r="AI222" s="70" t="s">
        <v>101</v>
      </c>
      <c r="AJ222" s="70" t="s">
        <v>100</v>
      </c>
      <c r="AK222" s="15" t="s">
        <v>102</v>
      </c>
    </row>
    <row r="223" spans="33:37" x14ac:dyDescent="0.4">
      <c r="AG223" s="70" t="s">
        <v>101</v>
      </c>
      <c r="AH223" s="70" t="s">
        <v>101</v>
      </c>
      <c r="AI223" s="70" t="s">
        <v>101</v>
      </c>
      <c r="AJ223" s="70" t="s">
        <v>108</v>
      </c>
      <c r="AK223" s="15" t="s">
        <v>102</v>
      </c>
    </row>
    <row r="224" spans="33:37" x14ac:dyDescent="0.4">
      <c r="AG224" s="70" t="s">
        <v>101</v>
      </c>
      <c r="AH224" s="70" t="s">
        <v>101</v>
      </c>
      <c r="AI224" s="70" t="s">
        <v>101</v>
      </c>
      <c r="AJ224" s="70" t="s">
        <v>105</v>
      </c>
      <c r="AK224" s="15" t="s">
        <v>102</v>
      </c>
    </row>
    <row r="225" spans="33:37" x14ac:dyDescent="0.4">
      <c r="AG225" s="70" t="s">
        <v>101</v>
      </c>
      <c r="AH225" s="70" t="s">
        <v>101</v>
      </c>
      <c r="AI225" s="70" t="s">
        <v>101</v>
      </c>
      <c r="AJ225" s="71" t="s">
        <v>112</v>
      </c>
      <c r="AK225" s="15" t="s">
        <v>102</v>
      </c>
    </row>
    <row r="226" spans="33:37" x14ac:dyDescent="0.4">
      <c r="AG226" s="70" t="s">
        <v>101</v>
      </c>
      <c r="AH226" s="70" t="s">
        <v>101</v>
      </c>
      <c r="AI226" s="70" t="s">
        <v>101</v>
      </c>
      <c r="AJ226" s="70" t="s">
        <v>98</v>
      </c>
      <c r="AK226" s="15" t="s">
        <v>102</v>
      </c>
    </row>
    <row r="227" spans="33:37" x14ac:dyDescent="0.4">
      <c r="AG227" s="70" t="s">
        <v>101</v>
      </c>
      <c r="AH227" s="70" t="s">
        <v>101</v>
      </c>
      <c r="AI227" s="70" t="s">
        <v>100</v>
      </c>
      <c r="AJ227" s="70" t="s">
        <v>101</v>
      </c>
      <c r="AK227" s="15" t="s">
        <v>102</v>
      </c>
    </row>
    <row r="228" spans="33:37" x14ac:dyDescent="0.4">
      <c r="AG228" s="70" t="s">
        <v>101</v>
      </c>
      <c r="AH228" s="70" t="s">
        <v>101</v>
      </c>
      <c r="AI228" s="70" t="s">
        <v>100</v>
      </c>
      <c r="AJ228" s="70" t="s">
        <v>100</v>
      </c>
      <c r="AK228" s="15" t="s">
        <v>102</v>
      </c>
    </row>
    <row r="229" spans="33:37" x14ac:dyDescent="0.4">
      <c r="AG229" s="70" t="s">
        <v>101</v>
      </c>
      <c r="AH229" s="70" t="s">
        <v>101</v>
      </c>
      <c r="AI229" s="70" t="s">
        <v>100</v>
      </c>
      <c r="AJ229" s="70" t="s">
        <v>108</v>
      </c>
      <c r="AK229" s="15" t="s">
        <v>102</v>
      </c>
    </row>
    <row r="230" spans="33:37" x14ac:dyDescent="0.4">
      <c r="AG230" s="70" t="s">
        <v>101</v>
      </c>
      <c r="AH230" s="70" t="s">
        <v>101</v>
      </c>
      <c r="AI230" s="70" t="s">
        <v>100</v>
      </c>
      <c r="AJ230" s="70" t="s">
        <v>105</v>
      </c>
      <c r="AK230" s="15" t="s">
        <v>102</v>
      </c>
    </row>
    <row r="231" spans="33:37" x14ac:dyDescent="0.4">
      <c r="AG231" s="70" t="s">
        <v>101</v>
      </c>
      <c r="AH231" s="70" t="s">
        <v>101</v>
      </c>
      <c r="AI231" s="70" t="s">
        <v>100</v>
      </c>
      <c r="AJ231" s="71" t="s">
        <v>112</v>
      </c>
      <c r="AK231" s="15" t="s">
        <v>102</v>
      </c>
    </row>
    <row r="232" spans="33:37" x14ac:dyDescent="0.4">
      <c r="AG232" s="70" t="s">
        <v>101</v>
      </c>
      <c r="AH232" s="70" t="s">
        <v>101</v>
      </c>
      <c r="AI232" s="70" t="s">
        <v>100</v>
      </c>
      <c r="AJ232" s="70" t="s">
        <v>98</v>
      </c>
      <c r="AK232" s="15" t="s">
        <v>102</v>
      </c>
    </row>
    <row r="233" spans="33:37" x14ac:dyDescent="0.4">
      <c r="AG233" s="70" t="s">
        <v>101</v>
      </c>
      <c r="AH233" s="70" t="s">
        <v>101</v>
      </c>
      <c r="AI233" s="70" t="s">
        <v>108</v>
      </c>
      <c r="AJ233" s="70" t="s">
        <v>101</v>
      </c>
      <c r="AK233" s="15" t="s">
        <v>102</v>
      </c>
    </row>
    <row r="234" spans="33:37" x14ac:dyDescent="0.4">
      <c r="AG234" s="70" t="s">
        <v>101</v>
      </c>
      <c r="AH234" s="70" t="s">
        <v>101</v>
      </c>
      <c r="AI234" s="70" t="s">
        <v>108</v>
      </c>
      <c r="AJ234" s="70" t="s">
        <v>100</v>
      </c>
      <c r="AK234" s="15" t="s">
        <v>102</v>
      </c>
    </row>
    <row r="235" spans="33:37" x14ac:dyDescent="0.4">
      <c r="AG235" s="70" t="s">
        <v>101</v>
      </c>
      <c r="AH235" s="70" t="s">
        <v>101</v>
      </c>
      <c r="AI235" s="70" t="s">
        <v>108</v>
      </c>
      <c r="AJ235" s="70" t="s">
        <v>108</v>
      </c>
      <c r="AK235" s="15" t="s">
        <v>102</v>
      </c>
    </row>
    <row r="236" spans="33:37" x14ac:dyDescent="0.4">
      <c r="AG236" s="70" t="s">
        <v>101</v>
      </c>
      <c r="AH236" s="70" t="s">
        <v>101</v>
      </c>
      <c r="AI236" s="70" t="s">
        <v>108</v>
      </c>
      <c r="AJ236" s="70" t="s">
        <v>105</v>
      </c>
      <c r="AK236" s="15" t="s">
        <v>102</v>
      </c>
    </row>
    <row r="237" spans="33:37" x14ac:dyDescent="0.4">
      <c r="AG237" s="70" t="s">
        <v>101</v>
      </c>
      <c r="AH237" s="70" t="s">
        <v>101</v>
      </c>
      <c r="AI237" s="70" t="s">
        <v>108</v>
      </c>
      <c r="AJ237" s="71" t="s">
        <v>112</v>
      </c>
      <c r="AK237" s="15" t="s">
        <v>102</v>
      </c>
    </row>
    <row r="238" spans="33:37" x14ac:dyDescent="0.4">
      <c r="AG238" s="70" t="s">
        <v>101</v>
      </c>
      <c r="AH238" s="70" t="s">
        <v>101</v>
      </c>
      <c r="AI238" s="70" t="s">
        <v>108</v>
      </c>
      <c r="AJ238" s="70" t="s">
        <v>98</v>
      </c>
      <c r="AK238" s="15" t="s">
        <v>102</v>
      </c>
    </row>
    <row r="239" spans="33:37" x14ac:dyDescent="0.4">
      <c r="AG239" s="70" t="s">
        <v>101</v>
      </c>
      <c r="AH239" s="70" t="s">
        <v>101</v>
      </c>
      <c r="AI239" s="70" t="s">
        <v>105</v>
      </c>
      <c r="AJ239" s="70" t="s">
        <v>101</v>
      </c>
      <c r="AK239" s="15" t="s">
        <v>102</v>
      </c>
    </row>
    <row r="240" spans="33:37" x14ac:dyDescent="0.4">
      <c r="AG240" s="70" t="s">
        <v>101</v>
      </c>
      <c r="AH240" s="70" t="s">
        <v>101</v>
      </c>
      <c r="AI240" s="70" t="s">
        <v>105</v>
      </c>
      <c r="AJ240" s="70" t="s">
        <v>100</v>
      </c>
      <c r="AK240" s="15" t="s">
        <v>102</v>
      </c>
    </row>
    <row r="241" spans="33:37" x14ac:dyDescent="0.4">
      <c r="AG241" s="70" t="s">
        <v>101</v>
      </c>
      <c r="AH241" s="70" t="s">
        <v>101</v>
      </c>
      <c r="AI241" s="70" t="s">
        <v>105</v>
      </c>
      <c r="AJ241" s="70" t="s">
        <v>108</v>
      </c>
      <c r="AK241" s="15" t="s">
        <v>102</v>
      </c>
    </row>
    <row r="242" spans="33:37" x14ac:dyDescent="0.4">
      <c r="AG242" s="70" t="s">
        <v>101</v>
      </c>
      <c r="AH242" s="70" t="s">
        <v>101</v>
      </c>
      <c r="AI242" s="70" t="s">
        <v>105</v>
      </c>
      <c r="AJ242" s="70" t="s">
        <v>105</v>
      </c>
      <c r="AK242" s="15" t="s">
        <v>102</v>
      </c>
    </row>
    <row r="243" spans="33:37" x14ac:dyDescent="0.4">
      <c r="AG243" s="70" t="s">
        <v>101</v>
      </c>
      <c r="AH243" s="70" t="s">
        <v>101</v>
      </c>
      <c r="AI243" s="70" t="s">
        <v>105</v>
      </c>
      <c r="AJ243" s="71" t="s">
        <v>112</v>
      </c>
      <c r="AK243" s="15" t="s">
        <v>102</v>
      </c>
    </row>
    <row r="244" spans="33:37" x14ac:dyDescent="0.4">
      <c r="AG244" s="70" t="s">
        <v>101</v>
      </c>
      <c r="AH244" s="70" t="s">
        <v>101</v>
      </c>
      <c r="AI244" s="70" t="s">
        <v>105</v>
      </c>
      <c r="AJ244" s="70" t="s">
        <v>98</v>
      </c>
      <c r="AK244" s="15" t="s">
        <v>102</v>
      </c>
    </row>
    <row r="245" spans="33:37" x14ac:dyDescent="0.4">
      <c r="AG245" s="70" t="s">
        <v>101</v>
      </c>
      <c r="AH245" s="70" t="s">
        <v>101</v>
      </c>
      <c r="AI245" s="71" t="s">
        <v>112</v>
      </c>
      <c r="AJ245" s="70" t="s">
        <v>101</v>
      </c>
      <c r="AK245" s="15" t="s">
        <v>102</v>
      </c>
    </row>
    <row r="246" spans="33:37" x14ac:dyDescent="0.4">
      <c r="AG246" s="70" t="s">
        <v>101</v>
      </c>
      <c r="AH246" s="70" t="s">
        <v>101</v>
      </c>
      <c r="AI246" s="71" t="s">
        <v>112</v>
      </c>
      <c r="AJ246" s="70" t="s">
        <v>100</v>
      </c>
      <c r="AK246" s="15" t="s">
        <v>102</v>
      </c>
    </row>
    <row r="247" spans="33:37" x14ac:dyDescent="0.4">
      <c r="AG247" s="70" t="s">
        <v>101</v>
      </c>
      <c r="AH247" s="70" t="s">
        <v>101</v>
      </c>
      <c r="AI247" s="71" t="s">
        <v>112</v>
      </c>
      <c r="AJ247" s="70" t="s">
        <v>108</v>
      </c>
      <c r="AK247" s="15" t="s">
        <v>102</v>
      </c>
    </row>
    <row r="248" spans="33:37" x14ac:dyDescent="0.4">
      <c r="AG248" s="70" t="s">
        <v>101</v>
      </c>
      <c r="AH248" s="70" t="s">
        <v>101</v>
      </c>
      <c r="AI248" s="71" t="s">
        <v>112</v>
      </c>
      <c r="AJ248" s="70" t="s">
        <v>105</v>
      </c>
      <c r="AK248" s="15" t="s">
        <v>102</v>
      </c>
    </row>
    <row r="249" spans="33:37" x14ac:dyDescent="0.4">
      <c r="AG249" s="70" t="s">
        <v>101</v>
      </c>
      <c r="AH249" s="70" t="s">
        <v>101</v>
      </c>
      <c r="AI249" s="71" t="s">
        <v>112</v>
      </c>
      <c r="AJ249" s="71" t="s">
        <v>112</v>
      </c>
      <c r="AK249" s="15" t="s">
        <v>102</v>
      </c>
    </row>
    <row r="250" spans="33:37" x14ac:dyDescent="0.4">
      <c r="AG250" s="70" t="s">
        <v>101</v>
      </c>
      <c r="AH250" s="70" t="s">
        <v>101</v>
      </c>
      <c r="AI250" s="71" t="s">
        <v>112</v>
      </c>
      <c r="AJ250" s="70" t="s">
        <v>98</v>
      </c>
      <c r="AK250" s="15" t="s">
        <v>102</v>
      </c>
    </row>
    <row r="251" spans="33:37" x14ac:dyDescent="0.4">
      <c r="AG251" s="70" t="s">
        <v>101</v>
      </c>
      <c r="AH251" s="70" t="s">
        <v>101</v>
      </c>
      <c r="AI251" s="70" t="s">
        <v>98</v>
      </c>
      <c r="AJ251" s="70" t="s">
        <v>101</v>
      </c>
      <c r="AK251" s="15" t="s">
        <v>102</v>
      </c>
    </row>
    <row r="252" spans="33:37" x14ac:dyDescent="0.4">
      <c r="AG252" s="70" t="s">
        <v>101</v>
      </c>
      <c r="AH252" s="70" t="s">
        <v>101</v>
      </c>
      <c r="AI252" s="70" t="s">
        <v>98</v>
      </c>
      <c r="AJ252" s="70" t="s">
        <v>100</v>
      </c>
      <c r="AK252" s="15" t="s">
        <v>102</v>
      </c>
    </row>
    <row r="253" spans="33:37" x14ac:dyDescent="0.4">
      <c r="AG253" s="70" t="s">
        <v>101</v>
      </c>
      <c r="AH253" s="70" t="s">
        <v>101</v>
      </c>
      <c r="AI253" s="70" t="s">
        <v>98</v>
      </c>
      <c r="AJ253" s="70" t="s">
        <v>108</v>
      </c>
      <c r="AK253" s="15" t="s">
        <v>102</v>
      </c>
    </row>
    <row r="254" spans="33:37" x14ac:dyDescent="0.4">
      <c r="AG254" s="70" t="s">
        <v>101</v>
      </c>
      <c r="AH254" s="70" t="s">
        <v>101</v>
      </c>
      <c r="AI254" s="70" t="s">
        <v>98</v>
      </c>
      <c r="AJ254" s="70" t="s">
        <v>105</v>
      </c>
      <c r="AK254" s="15" t="s">
        <v>102</v>
      </c>
    </row>
    <row r="255" spans="33:37" x14ac:dyDescent="0.4">
      <c r="AG255" s="70" t="s">
        <v>101</v>
      </c>
      <c r="AH255" s="70" t="s">
        <v>101</v>
      </c>
      <c r="AI255" s="70" t="s">
        <v>98</v>
      </c>
      <c r="AJ255" s="71" t="s">
        <v>112</v>
      </c>
      <c r="AK255" s="15" t="s">
        <v>102</v>
      </c>
    </row>
    <row r="256" spans="33:37" x14ac:dyDescent="0.4">
      <c r="AG256" s="70" t="s">
        <v>101</v>
      </c>
      <c r="AH256" s="70" t="s">
        <v>101</v>
      </c>
      <c r="AI256" s="70" t="s">
        <v>98</v>
      </c>
      <c r="AJ256" s="70" t="s">
        <v>98</v>
      </c>
      <c r="AK256" s="15" t="s">
        <v>102</v>
      </c>
    </row>
    <row r="257" spans="33:37" x14ac:dyDescent="0.4">
      <c r="AG257" s="70" t="s">
        <v>101</v>
      </c>
      <c r="AH257" s="70" t="s">
        <v>100</v>
      </c>
      <c r="AI257" s="70" t="s">
        <v>101</v>
      </c>
      <c r="AJ257" s="70" t="s">
        <v>101</v>
      </c>
      <c r="AK257" s="15" t="s">
        <v>102</v>
      </c>
    </row>
    <row r="258" spans="33:37" x14ac:dyDescent="0.4">
      <c r="AG258" s="70" t="s">
        <v>101</v>
      </c>
      <c r="AH258" s="70" t="s">
        <v>100</v>
      </c>
      <c r="AI258" s="70" t="s">
        <v>101</v>
      </c>
      <c r="AJ258" s="70" t="s">
        <v>100</v>
      </c>
      <c r="AK258" s="15" t="s">
        <v>102</v>
      </c>
    </row>
    <row r="259" spans="33:37" x14ac:dyDescent="0.4">
      <c r="AG259" s="70" t="s">
        <v>101</v>
      </c>
      <c r="AH259" s="70" t="s">
        <v>100</v>
      </c>
      <c r="AI259" s="70" t="s">
        <v>101</v>
      </c>
      <c r="AJ259" s="70" t="s">
        <v>108</v>
      </c>
      <c r="AK259" s="15" t="s">
        <v>102</v>
      </c>
    </row>
    <row r="260" spans="33:37" x14ac:dyDescent="0.4">
      <c r="AG260" s="70" t="s">
        <v>101</v>
      </c>
      <c r="AH260" s="70" t="s">
        <v>100</v>
      </c>
      <c r="AI260" s="70" t="s">
        <v>101</v>
      </c>
      <c r="AJ260" s="70" t="s">
        <v>105</v>
      </c>
      <c r="AK260" s="15" t="s">
        <v>102</v>
      </c>
    </row>
    <row r="261" spans="33:37" x14ac:dyDescent="0.4">
      <c r="AG261" s="70" t="s">
        <v>101</v>
      </c>
      <c r="AH261" s="70" t="s">
        <v>100</v>
      </c>
      <c r="AI261" s="70" t="s">
        <v>101</v>
      </c>
      <c r="AJ261" s="71" t="s">
        <v>112</v>
      </c>
      <c r="AK261" s="15" t="s">
        <v>102</v>
      </c>
    </row>
    <row r="262" spans="33:37" x14ac:dyDescent="0.4">
      <c r="AG262" s="70" t="s">
        <v>101</v>
      </c>
      <c r="AH262" s="70" t="s">
        <v>100</v>
      </c>
      <c r="AI262" s="70" t="s">
        <v>101</v>
      </c>
      <c r="AJ262" s="70" t="s">
        <v>98</v>
      </c>
      <c r="AK262" s="15" t="s">
        <v>102</v>
      </c>
    </row>
    <row r="263" spans="33:37" x14ac:dyDescent="0.4">
      <c r="AG263" s="70" t="s">
        <v>101</v>
      </c>
      <c r="AH263" s="70" t="s">
        <v>100</v>
      </c>
      <c r="AI263" s="70" t="s">
        <v>100</v>
      </c>
      <c r="AJ263" s="70" t="s">
        <v>101</v>
      </c>
      <c r="AK263" s="15" t="s">
        <v>102</v>
      </c>
    </row>
    <row r="264" spans="33:37" x14ac:dyDescent="0.4">
      <c r="AG264" s="70" t="s">
        <v>101</v>
      </c>
      <c r="AH264" s="70" t="s">
        <v>100</v>
      </c>
      <c r="AI264" s="70" t="s">
        <v>100</v>
      </c>
      <c r="AJ264" s="70" t="s">
        <v>100</v>
      </c>
      <c r="AK264" s="15" t="s">
        <v>102</v>
      </c>
    </row>
    <row r="265" spans="33:37" x14ac:dyDescent="0.4">
      <c r="AG265" s="70" t="s">
        <v>101</v>
      </c>
      <c r="AH265" s="70" t="s">
        <v>100</v>
      </c>
      <c r="AI265" s="70" t="s">
        <v>100</v>
      </c>
      <c r="AJ265" s="70" t="s">
        <v>108</v>
      </c>
      <c r="AK265" s="15" t="s">
        <v>102</v>
      </c>
    </row>
    <row r="266" spans="33:37" x14ac:dyDescent="0.4">
      <c r="AG266" s="70" t="s">
        <v>101</v>
      </c>
      <c r="AH266" s="70" t="s">
        <v>100</v>
      </c>
      <c r="AI266" s="70" t="s">
        <v>100</v>
      </c>
      <c r="AJ266" s="70" t="s">
        <v>105</v>
      </c>
      <c r="AK266" s="15" t="s">
        <v>102</v>
      </c>
    </row>
    <row r="267" spans="33:37" x14ac:dyDescent="0.4">
      <c r="AG267" s="70" t="s">
        <v>101</v>
      </c>
      <c r="AH267" s="70" t="s">
        <v>100</v>
      </c>
      <c r="AI267" s="70" t="s">
        <v>100</v>
      </c>
      <c r="AJ267" s="71" t="s">
        <v>112</v>
      </c>
      <c r="AK267" s="15" t="s">
        <v>102</v>
      </c>
    </row>
    <row r="268" spans="33:37" x14ac:dyDescent="0.4">
      <c r="AG268" s="70" t="s">
        <v>101</v>
      </c>
      <c r="AH268" s="70" t="s">
        <v>100</v>
      </c>
      <c r="AI268" s="70" t="s">
        <v>100</v>
      </c>
      <c r="AJ268" s="70" t="s">
        <v>98</v>
      </c>
      <c r="AK268" s="15" t="s">
        <v>102</v>
      </c>
    </row>
    <row r="269" spans="33:37" x14ac:dyDescent="0.4">
      <c r="AG269" s="70" t="s">
        <v>101</v>
      </c>
      <c r="AH269" s="70" t="s">
        <v>100</v>
      </c>
      <c r="AI269" s="70" t="s">
        <v>108</v>
      </c>
      <c r="AJ269" s="70" t="s">
        <v>101</v>
      </c>
      <c r="AK269" s="15" t="s">
        <v>102</v>
      </c>
    </row>
    <row r="270" spans="33:37" x14ac:dyDescent="0.4">
      <c r="AG270" s="70" t="s">
        <v>101</v>
      </c>
      <c r="AH270" s="70" t="s">
        <v>100</v>
      </c>
      <c r="AI270" s="70" t="s">
        <v>108</v>
      </c>
      <c r="AJ270" s="70" t="s">
        <v>100</v>
      </c>
      <c r="AK270" s="15" t="s">
        <v>102</v>
      </c>
    </row>
    <row r="271" spans="33:37" x14ac:dyDescent="0.4">
      <c r="AG271" s="70" t="s">
        <v>101</v>
      </c>
      <c r="AH271" s="70" t="s">
        <v>100</v>
      </c>
      <c r="AI271" s="70" t="s">
        <v>108</v>
      </c>
      <c r="AJ271" s="70" t="s">
        <v>108</v>
      </c>
      <c r="AK271" s="15" t="s">
        <v>102</v>
      </c>
    </row>
    <row r="272" spans="33:37" x14ac:dyDescent="0.4">
      <c r="AG272" s="70" t="s">
        <v>101</v>
      </c>
      <c r="AH272" s="70" t="s">
        <v>100</v>
      </c>
      <c r="AI272" s="70" t="s">
        <v>108</v>
      </c>
      <c r="AJ272" s="70" t="s">
        <v>105</v>
      </c>
      <c r="AK272" s="15" t="s">
        <v>102</v>
      </c>
    </row>
    <row r="273" spans="33:37" x14ac:dyDescent="0.4">
      <c r="AG273" s="70" t="s">
        <v>101</v>
      </c>
      <c r="AH273" s="70" t="s">
        <v>100</v>
      </c>
      <c r="AI273" s="70" t="s">
        <v>108</v>
      </c>
      <c r="AJ273" s="71" t="s">
        <v>112</v>
      </c>
      <c r="AK273" s="15" t="s">
        <v>102</v>
      </c>
    </row>
    <row r="274" spans="33:37" x14ac:dyDescent="0.4">
      <c r="AG274" s="70" t="s">
        <v>101</v>
      </c>
      <c r="AH274" s="70" t="s">
        <v>100</v>
      </c>
      <c r="AI274" s="70" t="s">
        <v>108</v>
      </c>
      <c r="AJ274" s="70" t="s">
        <v>98</v>
      </c>
      <c r="AK274" s="15" t="s">
        <v>102</v>
      </c>
    </row>
    <row r="275" spans="33:37" x14ac:dyDescent="0.4">
      <c r="AG275" s="70" t="s">
        <v>101</v>
      </c>
      <c r="AH275" s="70" t="s">
        <v>100</v>
      </c>
      <c r="AI275" s="70" t="s">
        <v>105</v>
      </c>
      <c r="AJ275" s="70" t="s">
        <v>101</v>
      </c>
      <c r="AK275" s="15" t="s">
        <v>102</v>
      </c>
    </row>
    <row r="276" spans="33:37" x14ac:dyDescent="0.4">
      <c r="AG276" s="70" t="s">
        <v>101</v>
      </c>
      <c r="AH276" s="70" t="s">
        <v>100</v>
      </c>
      <c r="AI276" s="70" t="s">
        <v>105</v>
      </c>
      <c r="AJ276" s="70" t="s">
        <v>100</v>
      </c>
      <c r="AK276" s="15" t="s">
        <v>102</v>
      </c>
    </row>
    <row r="277" spans="33:37" x14ac:dyDescent="0.4">
      <c r="AG277" s="70" t="s">
        <v>101</v>
      </c>
      <c r="AH277" s="70" t="s">
        <v>100</v>
      </c>
      <c r="AI277" s="70" t="s">
        <v>105</v>
      </c>
      <c r="AJ277" s="70" t="s">
        <v>108</v>
      </c>
      <c r="AK277" s="15" t="s">
        <v>102</v>
      </c>
    </row>
    <row r="278" spans="33:37" x14ac:dyDescent="0.4">
      <c r="AG278" s="70" t="s">
        <v>101</v>
      </c>
      <c r="AH278" s="70" t="s">
        <v>100</v>
      </c>
      <c r="AI278" s="70" t="s">
        <v>105</v>
      </c>
      <c r="AJ278" s="70" t="s">
        <v>105</v>
      </c>
      <c r="AK278" s="15" t="s">
        <v>102</v>
      </c>
    </row>
    <row r="279" spans="33:37" x14ac:dyDescent="0.4">
      <c r="AG279" s="70" t="s">
        <v>101</v>
      </c>
      <c r="AH279" s="70" t="s">
        <v>100</v>
      </c>
      <c r="AI279" s="70" t="s">
        <v>105</v>
      </c>
      <c r="AJ279" s="71" t="s">
        <v>112</v>
      </c>
      <c r="AK279" s="15" t="s">
        <v>102</v>
      </c>
    </row>
    <row r="280" spans="33:37" x14ac:dyDescent="0.4">
      <c r="AG280" s="70" t="s">
        <v>101</v>
      </c>
      <c r="AH280" s="70" t="s">
        <v>100</v>
      </c>
      <c r="AI280" s="70" t="s">
        <v>105</v>
      </c>
      <c r="AJ280" s="70" t="s">
        <v>98</v>
      </c>
      <c r="AK280" s="15" t="s">
        <v>102</v>
      </c>
    </row>
    <row r="281" spans="33:37" x14ac:dyDescent="0.4">
      <c r="AG281" s="70" t="s">
        <v>101</v>
      </c>
      <c r="AH281" s="70" t="s">
        <v>100</v>
      </c>
      <c r="AI281" s="71" t="s">
        <v>112</v>
      </c>
      <c r="AJ281" s="70" t="s">
        <v>101</v>
      </c>
      <c r="AK281" s="15" t="s">
        <v>102</v>
      </c>
    </row>
    <row r="282" spans="33:37" x14ac:dyDescent="0.4">
      <c r="AG282" s="70" t="s">
        <v>101</v>
      </c>
      <c r="AH282" s="70" t="s">
        <v>100</v>
      </c>
      <c r="AI282" s="71" t="s">
        <v>112</v>
      </c>
      <c r="AJ282" s="70" t="s">
        <v>100</v>
      </c>
      <c r="AK282" s="15" t="s">
        <v>102</v>
      </c>
    </row>
    <row r="283" spans="33:37" x14ac:dyDescent="0.4">
      <c r="AG283" s="70" t="s">
        <v>101</v>
      </c>
      <c r="AH283" s="70" t="s">
        <v>100</v>
      </c>
      <c r="AI283" s="71" t="s">
        <v>112</v>
      </c>
      <c r="AJ283" s="70" t="s">
        <v>108</v>
      </c>
      <c r="AK283" s="15" t="s">
        <v>102</v>
      </c>
    </row>
    <row r="284" spans="33:37" x14ac:dyDescent="0.4">
      <c r="AG284" s="70" t="s">
        <v>101</v>
      </c>
      <c r="AH284" s="70" t="s">
        <v>100</v>
      </c>
      <c r="AI284" s="71" t="s">
        <v>112</v>
      </c>
      <c r="AJ284" s="70" t="s">
        <v>105</v>
      </c>
      <c r="AK284" s="15" t="s">
        <v>102</v>
      </c>
    </row>
    <row r="285" spans="33:37" x14ac:dyDescent="0.4">
      <c r="AG285" s="70" t="s">
        <v>101</v>
      </c>
      <c r="AH285" s="70" t="s">
        <v>100</v>
      </c>
      <c r="AI285" s="71" t="s">
        <v>112</v>
      </c>
      <c r="AJ285" s="71" t="s">
        <v>112</v>
      </c>
      <c r="AK285" s="15" t="s">
        <v>102</v>
      </c>
    </row>
    <row r="286" spans="33:37" x14ac:dyDescent="0.4">
      <c r="AG286" s="70" t="s">
        <v>101</v>
      </c>
      <c r="AH286" s="70" t="s">
        <v>100</v>
      </c>
      <c r="AI286" s="71" t="s">
        <v>112</v>
      </c>
      <c r="AJ286" s="70" t="s">
        <v>98</v>
      </c>
      <c r="AK286" s="15" t="s">
        <v>102</v>
      </c>
    </row>
    <row r="287" spans="33:37" x14ac:dyDescent="0.4">
      <c r="AG287" s="70" t="s">
        <v>101</v>
      </c>
      <c r="AH287" s="70" t="s">
        <v>100</v>
      </c>
      <c r="AI287" s="70" t="s">
        <v>98</v>
      </c>
      <c r="AJ287" s="70" t="s">
        <v>101</v>
      </c>
      <c r="AK287" s="15" t="s">
        <v>102</v>
      </c>
    </row>
    <row r="288" spans="33:37" x14ac:dyDescent="0.4">
      <c r="AG288" s="70" t="s">
        <v>101</v>
      </c>
      <c r="AH288" s="70" t="s">
        <v>100</v>
      </c>
      <c r="AI288" s="70" t="s">
        <v>98</v>
      </c>
      <c r="AJ288" s="70" t="s">
        <v>100</v>
      </c>
      <c r="AK288" s="15" t="s">
        <v>102</v>
      </c>
    </row>
    <row r="289" spans="33:37" x14ac:dyDescent="0.4">
      <c r="AG289" s="70" t="s">
        <v>101</v>
      </c>
      <c r="AH289" s="70" t="s">
        <v>100</v>
      </c>
      <c r="AI289" s="70" t="s">
        <v>98</v>
      </c>
      <c r="AJ289" s="70" t="s">
        <v>108</v>
      </c>
      <c r="AK289" s="15" t="s">
        <v>102</v>
      </c>
    </row>
    <row r="290" spans="33:37" x14ac:dyDescent="0.4">
      <c r="AG290" s="70" t="s">
        <v>101</v>
      </c>
      <c r="AH290" s="70" t="s">
        <v>100</v>
      </c>
      <c r="AI290" s="70" t="s">
        <v>98</v>
      </c>
      <c r="AJ290" s="70" t="s">
        <v>105</v>
      </c>
      <c r="AK290" s="15" t="s">
        <v>102</v>
      </c>
    </row>
    <row r="291" spans="33:37" x14ac:dyDescent="0.4">
      <c r="AG291" s="70" t="s">
        <v>101</v>
      </c>
      <c r="AH291" s="70" t="s">
        <v>100</v>
      </c>
      <c r="AI291" s="70" t="s">
        <v>98</v>
      </c>
      <c r="AJ291" s="71" t="s">
        <v>112</v>
      </c>
      <c r="AK291" s="15" t="s">
        <v>102</v>
      </c>
    </row>
    <row r="292" spans="33:37" x14ac:dyDescent="0.4">
      <c r="AG292" s="70" t="s">
        <v>101</v>
      </c>
      <c r="AH292" s="70" t="s">
        <v>100</v>
      </c>
      <c r="AI292" s="70" t="s">
        <v>98</v>
      </c>
      <c r="AJ292" s="70" t="s">
        <v>98</v>
      </c>
      <c r="AK292" s="15" t="s">
        <v>102</v>
      </c>
    </row>
    <row r="293" spans="33:37" x14ac:dyDescent="0.4">
      <c r="AG293" s="70" t="s">
        <v>101</v>
      </c>
      <c r="AH293" s="70" t="s">
        <v>108</v>
      </c>
      <c r="AI293" s="70" t="s">
        <v>101</v>
      </c>
      <c r="AJ293" s="70" t="s">
        <v>101</v>
      </c>
      <c r="AK293" s="15" t="s">
        <v>102</v>
      </c>
    </row>
    <row r="294" spans="33:37" x14ac:dyDescent="0.4">
      <c r="AG294" s="70" t="s">
        <v>101</v>
      </c>
      <c r="AH294" s="70" t="s">
        <v>108</v>
      </c>
      <c r="AI294" s="70" t="s">
        <v>101</v>
      </c>
      <c r="AJ294" s="70" t="s">
        <v>100</v>
      </c>
      <c r="AK294" s="15" t="s">
        <v>102</v>
      </c>
    </row>
    <row r="295" spans="33:37" x14ac:dyDescent="0.4">
      <c r="AG295" s="70" t="s">
        <v>101</v>
      </c>
      <c r="AH295" s="70" t="s">
        <v>108</v>
      </c>
      <c r="AI295" s="70" t="s">
        <v>101</v>
      </c>
      <c r="AJ295" s="70" t="s">
        <v>108</v>
      </c>
      <c r="AK295" s="15" t="s">
        <v>102</v>
      </c>
    </row>
    <row r="296" spans="33:37" x14ac:dyDescent="0.4">
      <c r="AG296" s="70" t="s">
        <v>101</v>
      </c>
      <c r="AH296" s="70" t="s">
        <v>108</v>
      </c>
      <c r="AI296" s="70" t="s">
        <v>101</v>
      </c>
      <c r="AJ296" s="70" t="s">
        <v>105</v>
      </c>
      <c r="AK296" s="15" t="s">
        <v>102</v>
      </c>
    </row>
    <row r="297" spans="33:37" x14ac:dyDescent="0.4">
      <c r="AG297" s="70" t="s">
        <v>101</v>
      </c>
      <c r="AH297" s="70" t="s">
        <v>108</v>
      </c>
      <c r="AI297" s="70" t="s">
        <v>101</v>
      </c>
      <c r="AJ297" s="71" t="s">
        <v>112</v>
      </c>
      <c r="AK297" s="15" t="s">
        <v>102</v>
      </c>
    </row>
    <row r="298" spans="33:37" x14ac:dyDescent="0.4">
      <c r="AG298" s="70" t="s">
        <v>101</v>
      </c>
      <c r="AH298" s="70" t="s">
        <v>108</v>
      </c>
      <c r="AI298" s="70" t="s">
        <v>101</v>
      </c>
      <c r="AJ298" s="70" t="s">
        <v>98</v>
      </c>
      <c r="AK298" s="15" t="s">
        <v>102</v>
      </c>
    </row>
    <row r="299" spans="33:37" x14ac:dyDescent="0.4">
      <c r="AG299" s="70" t="s">
        <v>101</v>
      </c>
      <c r="AH299" s="70" t="s">
        <v>108</v>
      </c>
      <c r="AI299" s="70" t="s">
        <v>100</v>
      </c>
      <c r="AJ299" s="70" t="s">
        <v>101</v>
      </c>
      <c r="AK299" s="15" t="s">
        <v>102</v>
      </c>
    </row>
    <row r="300" spans="33:37" x14ac:dyDescent="0.4">
      <c r="AG300" s="70" t="s">
        <v>101</v>
      </c>
      <c r="AH300" s="70" t="s">
        <v>108</v>
      </c>
      <c r="AI300" s="70" t="s">
        <v>100</v>
      </c>
      <c r="AJ300" s="70" t="s">
        <v>100</v>
      </c>
      <c r="AK300" s="15" t="s">
        <v>102</v>
      </c>
    </row>
    <row r="301" spans="33:37" x14ac:dyDescent="0.4">
      <c r="AG301" s="70" t="s">
        <v>101</v>
      </c>
      <c r="AH301" s="70" t="s">
        <v>108</v>
      </c>
      <c r="AI301" s="70" t="s">
        <v>100</v>
      </c>
      <c r="AJ301" s="70" t="s">
        <v>108</v>
      </c>
      <c r="AK301" s="15" t="s">
        <v>102</v>
      </c>
    </row>
    <row r="302" spans="33:37" x14ac:dyDescent="0.4">
      <c r="AG302" s="70" t="s">
        <v>101</v>
      </c>
      <c r="AH302" s="70" t="s">
        <v>108</v>
      </c>
      <c r="AI302" s="70" t="s">
        <v>100</v>
      </c>
      <c r="AJ302" s="70" t="s">
        <v>105</v>
      </c>
      <c r="AK302" s="15" t="s">
        <v>102</v>
      </c>
    </row>
    <row r="303" spans="33:37" x14ac:dyDescent="0.4">
      <c r="AG303" s="70" t="s">
        <v>101</v>
      </c>
      <c r="AH303" s="70" t="s">
        <v>108</v>
      </c>
      <c r="AI303" s="70" t="s">
        <v>100</v>
      </c>
      <c r="AJ303" s="71" t="s">
        <v>112</v>
      </c>
      <c r="AK303" s="15" t="s">
        <v>102</v>
      </c>
    </row>
    <row r="304" spans="33:37" x14ac:dyDescent="0.4">
      <c r="AG304" s="70" t="s">
        <v>101</v>
      </c>
      <c r="AH304" s="70" t="s">
        <v>108</v>
      </c>
      <c r="AI304" s="70" t="s">
        <v>100</v>
      </c>
      <c r="AJ304" s="70" t="s">
        <v>98</v>
      </c>
      <c r="AK304" s="15" t="s">
        <v>102</v>
      </c>
    </row>
    <row r="305" spans="33:37" x14ac:dyDescent="0.4">
      <c r="AG305" s="70" t="s">
        <v>101</v>
      </c>
      <c r="AH305" s="70" t="s">
        <v>108</v>
      </c>
      <c r="AI305" s="70" t="s">
        <v>108</v>
      </c>
      <c r="AJ305" s="70" t="s">
        <v>101</v>
      </c>
      <c r="AK305" s="15" t="s">
        <v>102</v>
      </c>
    </row>
    <row r="306" spans="33:37" x14ac:dyDescent="0.4">
      <c r="AG306" s="70" t="s">
        <v>101</v>
      </c>
      <c r="AH306" s="70" t="s">
        <v>108</v>
      </c>
      <c r="AI306" s="70" t="s">
        <v>108</v>
      </c>
      <c r="AJ306" s="70" t="s">
        <v>100</v>
      </c>
      <c r="AK306" s="15" t="s">
        <v>102</v>
      </c>
    </row>
    <row r="307" spans="33:37" x14ac:dyDescent="0.4">
      <c r="AG307" s="70" t="s">
        <v>101</v>
      </c>
      <c r="AH307" s="70" t="s">
        <v>108</v>
      </c>
      <c r="AI307" s="70" t="s">
        <v>108</v>
      </c>
      <c r="AJ307" s="70" t="s">
        <v>108</v>
      </c>
      <c r="AK307" s="15" t="s">
        <v>102</v>
      </c>
    </row>
    <row r="308" spans="33:37" x14ac:dyDescent="0.4">
      <c r="AG308" s="70" t="s">
        <v>101</v>
      </c>
      <c r="AH308" s="70" t="s">
        <v>108</v>
      </c>
      <c r="AI308" s="70" t="s">
        <v>108</v>
      </c>
      <c r="AJ308" s="70" t="s">
        <v>105</v>
      </c>
      <c r="AK308" s="15" t="s">
        <v>102</v>
      </c>
    </row>
    <row r="309" spans="33:37" x14ac:dyDescent="0.4">
      <c r="AG309" s="70" t="s">
        <v>101</v>
      </c>
      <c r="AH309" s="70" t="s">
        <v>108</v>
      </c>
      <c r="AI309" s="70" t="s">
        <v>108</v>
      </c>
      <c r="AJ309" s="71" t="s">
        <v>112</v>
      </c>
      <c r="AK309" s="15" t="s">
        <v>102</v>
      </c>
    </row>
    <row r="310" spans="33:37" x14ac:dyDescent="0.4">
      <c r="AG310" s="70" t="s">
        <v>101</v>
      </c>
      <c r="AH310" s="70" t="s">
        <v>108</v>
      </c>
      <c r="AI310" s="70" t="s">
        <v>108</v>
      </c>
      <c r="AJ310" s="70" t="s">
        <v>98</v>
      </c>
      <c r="AK310" s="15" t="s">
        <v>102</v>
      </c>
    </row>
    <row r="311" spans="33:37" x14ac:dyDescent="0.4">
      <c r="AG311" s="70" t="s">
        <v>101</v>
      </c>
      <c r="AH311" s="70" t="s">
        <v>108</v>
      </c>
      <c r="AI311" s="70" t="s">
        <v>105</v>
      </c>
      <c r="AJ311" s="70" t="s">
        <v>101</v>
      </c>
      <c r="AK311" s="15" t="s">
        <v>102</v>
      </c>
    </row>
    <row r="312" spans="33:37" x14ac:dyDescent="0.4">
      <c r="AG312" s="70" t="s">
        <v>101</v>
      </c>
      <c r="AH312" s="70" t="s">
        <v>108</v>
      </c>
      <c r="AI312" s="70" t="s">
        <v>105</v>
      </c>
      <c r="AJ312" s="70" t="s">
        <v>100</v>
      </c>
      <c r="AK312" s="15" t="s">
        <v>102</v>
      </c>
    </row>
    <row r="313" spans="33:37" x14ac:dyDescent="0.4">
      <c r="AG313" s="70" t="s">
        <v>101</v>
      </c>
      <c r="AH313" s="70" t="s">
        <v>108</v>
      </c>
      <c r="AI313" s="70" t="s">
        <v>105</v>
      </c>
      <c r="AJ313" s="70" t="s">
        <v>108</v>
      </c>
      <c r="AK313" s="15" t="s">
        <v>102</v>
      </c>
    </row>
    <row r="314" spans="33:37" x14ac:dyDescent="0.4">
      <c r="AG314" s="70" t="s">
        <v>101</v>
      </c>
      <c r="AH314" s="70" t="s">
        <v>108</v>
      </c>
      <c r="AI314" s="70" t="s">
        <v>105</v>
      </c>
      <c r="AJ314" s="70" t="s">
        <v>105</v>
      </c>
      <c r="AK314" s="15" t="s">
        <v>102</v>
      </c>
    </row>
    <row r="315" spans="33:37" x14ac:dyDescent="0.4">
      <c r="AG315" s="70" t="s">
        <v>101</v>
      </c>
      <c r="AH315" s="70" t="s">
        <v>108</v>
      </c>
      <c r="AI315" s="70" t="s">
        <v>105</v>
      </c>
      <c r="AJ315" s="71" t="s">
        <v>112</v>
      </c>
      <c r="AK315" s="15" t="s">
        <v>102</v>
      </c>
    </row>
    <row r="316" spans="33:37" x14ac:dyDescent="0.4">
      <c r="AG316" s="70" t="s">
        <v>101</v>
      </c>
      <c r="AH316" s="70" t="s">
        <v>108</v>
      </c>
      <c r="AI316" s="70" t="s">
        <v>105</v>
      </c>
      <c r="AJ316" s="70" t="s">
        <v>98</v>
      </c>
      <c r="AK316" s="15" t="s">
        <v>102</v>
      </c>
    </row>
    <row r="317" spans="33:37" x14ac:dyDescent="0.4">
      <c r="AG317" s="70" t="s">
        <v>101</v>
      </c>
      <c r="AH317" s="70" t="s">
        <v>108</v>
      </c>
      <c r="AI317" s="71" t="s">
        <v>112</v>
      </c>
      <c r="AJ317" s="70" t="s">
        <v>101</v>
      </c>
      <c r="AK317" s="15" t="s">
        <v>102</v>
      </c>
    </row>
    <row r="318" spans="33:37" x14ac:dyDescent="0.4">
      <c r="AG318" s="70" t="s">
        <v>101</v>
      </c>
      <c r="AH318" s="70" t="s">
        <v>108</v>
      </c>
      <c r="AI318" s="71" t="s">
        <v>112</v>
      </c>
      <c r="AJ318" s="70" t="s">
        <v>100</v>
      </c>
      <c r="AK318" s="15" t="s">
        <v>102</v>
      </c>
    </row>
    <row r="319" spans="33:37" x14ac:dyDescent="0.4">
      <c r="AG319" s="70" t="s">
        <v>101</v>
      </c>
      <c r="AH319" s="70" t="s">
        <v>108</v>
      </c>
      <c r="AI319" s="71" t="s">
        <v>112</v>
      </c>
      <c r="AJ319" s="70" t="s">
        <v>108</v>
      </c>
      <c r="AK319" s="15" t="s">
        <v>102</v>
      </c>
    </row>
    <row r="320" spans="33:37" x14ac:dyDescent="0.4">
      <c r="AG320" s="70" t="s">
        <v>101</v>
      </c>
      <c r="AH320" s="70" t="s">
        <v>108</v>
      </c>
      <c r="AI320" s="71" t="s">
        <v>112</v>
      </c>
      <c r="AJ320" s="70" t="s">
        <v>105</v>
      </c>
      <c r="AK320" s="15" t="s">
        <v>102</v>
      </c>
    </row>
    <row r="321" spans="33:37" x14ac:dyDescent="0.4">
      <c r="AG321" s="70" t="s">
        <v>101</v>
      </c>
      <c r="AH321" s="70" t="s">
        <v>108</v>
      </c>
      <c r="AI321" s="71" t="s">
        <v>112</v>
      </c>
      <c r="AJ321" s="71" t="s">
        <v>112</v>
      </c>
      <c r="AK321" s="15" t="s">
        <v>102</v>
      </c>
    </row>
    <row r="322" spans="33:37" x14ac:dyDescent="0.4">
      <c r="AG322" s="70" t="s">
        <v>101</v>
      </c>
      <c r="AH322" s="70" t="s">
        <v>108</v>
      </c>
      <c r="AI322" s="71" t="s">
        <v>112</v>
      </c>
      <c r="AJ322" s="70" t="s">
        <v>98</v>
      </c>
      <c r="AK322" s="15" t="s">
        <v>102</v>
      </c>
    </row>
    <row r="323" spans="33:37" x14ac:dyDescent="0.4">
      <c r="AG323" s="70" t="s">
        <v>101</v>
      </c>
      <c r="AH323" s="70" t="s">
        <v>108</v>
      </c>
      <c r="AI323" s="70" t="s">
        <v>98</v>
      </c>
      <c r="AJ323" s="70" t="s">
        <v>101</v>
      </c>
      <c r="AK323" s="15" t="s">
        <v>102</v>
      </c>
    </row>
    <row r="324" spans="33:37" x14ac:dyDescent="0.4">
      <c r="AG324" s="70" t="s">
        <v>101</v>
      </c>
      <c r="AH324" s="70" t="s">
        <v>108</v>
      </c>
      <c r="AI324" s="70" t="s">
        <v>98</v>
      </c>
      <c r="AJ324" s="70" t="s">
        <v>100</v>
      </c>
      <c r="AK324" s="15" t="s">
        <v>102</v>
      </c>
    </row>
    <row r="325" spans="33:37" x14ac:dyDescent="0.4">
      <c r="AG325" s="70" t="s">
        <v>101</v>
      </c>
      <c r="AH325" s="70" t="s">
        <v>108</v>
      </c>
      <c r="AI325" s="70" t="s">
        <v>98</v>
      </c>
      <c r="AJ325" s="70" t="s">
        <v>108</v>
      </c>
      <c r="AK325" s="15" t="s">
        <v>102</v>
      </c>
    </row>
    <row r="326" spans="33:37" x14ac:dyDescent="0.4">
      <c r="AG326" s="70" t="s">
        <v>101</v>
      </c>
      <c r="AH326" s="70" t="s">
        <v>108</v>
      </c>
      <c r="AI326" s="70" t="s">
        <v>98</v>
      </c>
      <c r="AJ326" s="70" t="s">
        <v>105</v>
      </c>
      <c r="AK326" s="15" t="s">
        <v>102</v>
      </c>
    </row>
    <row r="327" spans="33:37" x14ac:dyDescent="0.4">
      <c r="AG327" s="70" t="s">
        <v>101</v>
      </c>
      <c r="AH327" s="70" t="s">
        <v>108</v>
      </c>
      <c r="AI327" s="70" t="s">
        <v>98</v>
      </c>
      <c r="AJ327" s="71" t="s">
        <v>112</v>
      </c>
      <c r="AK327" s="15" t="s">
        <v>102</v>
      </c>
    </row>
    <row r="328" spans="33:37" x14ac:dyDescent="0.4">
      <c r="AG328" s="70" t="s">
        <v>101</v>
      </c>
      <c r="AH328" s="70" t="s">
        <v>108</v>
      </c>
      <c r="AI328" s="70" t="s">
        <v>98</v>
      </c>
      <c r="AJ328" s="70" t="s">
        <v>98</v>
      </c>
      <c r="AK328" s="15" t="s">
        <v>102</v>
      </c>
    </row>
    <row r="329" spans="33:37" x14ac:dyDescent="0.4">
      <c r="AG329" s="70" t="s">
        <v>101</v>
      </c>
      <c r="AH329" s="70" t="s">
        <v>105</v>
      </c>
      <c r="AI329" s="70" t="s">
        <v>101</v>
      </c>
      <c r="AJ329" s="70" t="s">
        <v>101</v>
      </c>
      <c r="AK329" s="15" t="s">
        <v>102</v>
      </c>
    </row>
    <row r="330" spans="33:37" x14ac:dyDescent="0.4">
      <c r="AG330" s="70" t="s">
        <v>101</v>
      </c>
      <c r="AH330" s="70" t="s">
        <v>105</v>
      </c>
      <c r="AI330" s="70" t="s">
        <v>101</v>
      </c>
      <c r="AJ330" s="70" t="s">
        <v>100</v>
      </c>
      <c r="AK330" s="15" t="s">
        <v>102</v>
      </c>
    </row>
    <row r="331" spans="33:37" x14ac:dyDescent="0.4">
      <c r="AG331" s="70" t="s">
        <v>101</v>
      </c>
      <c r="AH331" s="70" t="s">
        <v>105</v>
      </c>
      <c r="AI331" s="70" t="s">
        <v>101</v>
      </c>
      <c r="AJ331" s="70" t="s">
        <v>108</v>
      </c>
      <c r="AK331" s="15" t="s">
        <v>102</v>
      </c>
    </row>
    <row r="332" spans="33:37" x14ac:dyDescent="0.4">
      <c r="AG332" s="70" t="s">
        <v>101</v>
      </c>
      <c r="AH332" s="70" t="s">
        <v>105</v>
      </c>
      <c r="AI332" s="70" t="s">
        <v>101</v>
      </c>
      <c r="AJ332" s="70" t="s">
        <v>105</v>
      </c>
      <c r="AK332" s="15" t="s">
        <v>102</v>
      </c>
    </row>
    <row r="333" spans="33:37" x14ac:dyDescent="0.4">
      <c r="AG333" s="70" t="s">
        <v>101</v>
      </c>
      <c r="AH333" s="70" t="s">
        <v>105</v>
      </c>
      <c r="AI333" s="70" t="s">
        <v>101</v>
      </c>
      <c r="AJ333" s="71" t="s">
        <v>112</v>
      </c>
      <c r="AK333" s="15" t="s">
        <v>102</v>
      </c>
    </row>
    <row r="334" spans="33:37" x14ac:dyDescent="0.4">
      <c r="AG334" s="70" t="s">
        <v>101</v>
      </c>
      <c r="AH334" s="70" t="s">
        <v>105</v>
      </c>
      <c r="AI334" s="70" t="s">
        <v>101</v>
      </c>
      <c r="AJ334" s="70" t="s">
        <v>98</v>
      </c>
      <c r="AK334" s="15" t="s">
        <v>102</v>
      </c>
    </row>
    <row r="335" spans="33:37" x14ac:dyDescent="0.4">
      <c r="AG335" s="70" t="s">
        <v>101</v>
      </c>
      <c r="AH335" s="70" t="s">
        <v>105</v>
      </c>
      <c r="AI335" s="70" t="s">
        <v>100</v>
      </c>
      <c r="AJ335" s="70" t="s">
        <v>101</v>
      </c>
      <c r="AK335" s="15" t="s">
        <v>102</v>
      </c>
    </row>
    <row r="336" spans="33:37" x14ac:dyDescent="0.4">
      <c r="AG336" s="70" t="s">
        <v>101</v>
      </c>
      <c r="AH336" s="70" t="s">
        <v>105</v>
      </c>
      <c r="AI336" s="70" t="s">
        <v>100</v>
      </c>
      <c r="AJ336" s="70" t="s">
        <v>100</v>
      </c>
      <c r="AK336" s="15" t="s">
        <v>102</v>
      </c>
    </row>
    <row r="337" spans="33:37" x14ac:dyDescent="0.4">
      <c r="AG337" s="70" t="s">
        <v>101</v>
      </c>
      <c r="AH337" s="70" t="s">
        <v>105</v>
      </c>
      <c r="AI337" s="70" t="s">
        <v>100</v>
      </c>
      <c r="AJ337" s="70" t="s">
        <v>108</v>
      </c>
      <c r="AK337" s="15" t="s">
        <v>102</v>
      </c>
    </row>
    <row r="338" spans="33:37" x14ac:dyDescent="0.4">
      <c r="AG338" s="70" t="s">
        <v>101</v>
      </c>
      <c r="AH338" s="70" t="s">
        <v>105</v>
      </c>
      <c r="AI338" s="70" t="s">
        <v>100</v>
      </c>
      <c r="AJ338" s="70" t="s">
        <v>105</v>
      </c>
      <c r="AK338" s="15" t="s">
        <v>102</v>
      </c>
    </row>
    <row r="339" spans="33:37" x14ac:dyDescent="0.4">
      <c r="AG339" s="70" t="s">
        <v>101</v>
      </c>
      <c r="AH339" s="70" t="s">
        <v>105</v>
      </c>
      <c r="AI339" s="70" t="s">
        <v>100</v>
      </c>
      <c r="AJ339" s="71" t="s">
        <v>112</v>
      </c>
      <c r="AK339" s="15" t="s">
        <v>102</v>
      </c>
    </row>
    <row r="340" spans="33:37" x14ac:dyDescent="0.4">
      <c r="AG340" s="70" t="s">
        <v>101</v>
      </c>
      <c r="AH340" s="70" t="s">
        <v>105</v>
      </c>
      <c r="AI340" s="70" t="s">
        <v>100</v>
      </c>
      <c r="AJ340" s="70" t="s">
        <v>98</v>
      </c>
      <c r="AK340" s="15" t="s">
        <v>102</v>
      </c>
    </row>
    <row r="341" spans="33:37" x14ac:dyDescent="0.4">
      <c r="AG341" s="70" t="s">
        <v>101</v>
      </c>
      <c r="AH341" s="70" t="s">
        <v>105</v>
      </c>
      <c r="AI341" s="70" t="s">
        <v>108</v>
      </c>
      <c r="AJ341" s="70" t="s">
        <v>101</v>
      </c>
      <c r="AK341" s="15" t="s">
        <v>102</v>
      </c>
    </row>
    <row r="342" spans="33:37" x14ac:dyDescent="0.4">
      <c r="AG342" s="70" t="s">
        <v>101</v>
      </c>
      <c r="AH342" s="70" t="s">
        <v>105</v>
      </c>
      <c r="AI342" s="70" t="s">
        <v>108</v>
      </c>
      <c r="AJ342" s="70" t="s">
        <v>100</v>
      </c>
      <c r="AK342" s="15" t="s">
        <v>102</v>
      </c>
    </row>
    <row r="343" spans="33:37" x14ac:dyDescent="0.4">
      <c r="AG343" s="70" t="s">
        <v>101</v>
      </c>
      <c r="AH343" s="70" t="s">
        <v>105</v>
      </c>
      <c r="AI343" s="70" t="s">
        <v>108</v>
      </c>
      <c r="AJ343" s="70" t="s">
        <v>108</v>
      </c>
      <c r="AK343" s="15" t="s">
        <v>102</v>
      </c>
    </row>
    <row r="344" spans="33:37" x14ac:dyDescent="0.4">
      <c r="AG344" s="70" t="s">
        <v>101</v>
      </c>
      <c r="AH344" s="70" t="s">
        <v>105</v>
      </c>
      <c r="AI344" s="70" t="s">
        <v>108</v>
      </c>
      <c r="AJ344" s="70" t="s">
        <v>105</v>
      </c>
      <c r="AK344" s="15" t="s">
        <v>102</v>
      </c>
    </row>
    <row r="345" spans="33:37" x14ac:dyDescent="0.4">
      <c r="AG345" s="70" t="s">
        <v>101</v>
      </c>
      <c r="AH345" s="70" t="s">
        <v>105</v>
      </c>
      <c r="AI345" s="70" t="s">
        <v>108</v>
      </c>
      <c r="AJ345" s="71" t="s">
        <v>112</v>
      </c>
      <c r="AK345" s="15" t="s">
        <v>102</v>
      </c>
    </row>
    <row r="346" spans="33:37" x14ac:dyDescent="0.4">
      <c r="AG346" s="70" t="s">
        <v>101</v>
      </c>
      <c r="AH346" s="70" t="s">
        <v>105</v>
      </c>
      <c r="AI346" s="70" t="s">
        <v>108</v>
      </c>
      <c r="AJ346" s="70" t="s">
        <v>98</v>
      </c>
      <c r="AK346" s="15" t="s">
        <v>102</v>
      </c>
    </row>
    <row r="347" spans="33:37" x14ac:dyDescent="0.4">
      <c r="AG347" s="70" t="s">
        <v>101</v>
      </c>
      <c r="AH347" s="70" t="s">
        <v>105</v>
      </c>
      <c r="AI347" s="70" t="s">
        <v>105</v>
      </c>
      <c r="AJ347" s="70" t="s">
        <v>101</v>
      </c>
      <c r="AK347" s="15" t="s">
        <v>102</v>
      </c>
    </row>
    <row r="348" spans="33:37" x14ac:dyDescent="0.4">
      <c r="AG348" s="70" t="s">
        <v>101</v>
      </c>
      <c r="AH348" s="70" t="s">
        <v>105</v>
      </c>
      <c r="AI348" s="70" t="s">
        <v>105</v>
      </c>
      <c r="AJ348" s="70" t="s">
        <v>100</v>
      </c>
      <c r="AK348" s="15" t="s">
        <v>102</v>
      </c>
    </row>
    <row r="349" spans="33:37" x14ac:dyDescent="0.4">
      <c r="AG349" s="70" t="s">
        <v>101</v>
      </c>
      <c r="AH349" s="70" t="s">
        <v>105</v>
      </c>
      <c r="AI349" s="70" t="s">
        <v>105</v>
      </c>
      <c r="AJ349" s="70" t="s">
        <v>108</v>
      </c>
      <c r="AK349" s="15" t="s">
        <v>102</v>
      </c>
    </row>
    <row r="350" spans="33:37" x14ac:dyDescent="0.4">
      <c r="AG350" s="70" t="s">
        <v>101</v>
      </c>
      <c r="AH350" s="70" t="s">
        <v>105</v>
      </c>
      <c r="AI350" s="70" t="s">
        <v>105</v>
      </c>
      <c r="AJ350" s="70" t="s">
        <v>105</v>
      </c>
      <c r="AK350" s="15" t="s">
        <v>102</v>
      </c>
    </row>
    <row r="351" spans="33:37" x14ac:dyDescent="0.4">
      <c r="AG351" s="70" t="s">
        <v>101</v>
      </c>
      <c r="AH351" s="70" t="s">
        <v>105</v>
      </c>
      <c r="AI351" s="70" t="s">
        <v>105</v>
      </c>
      <c r="AJ351" s="71" t="s">
        <v>112</v>
      </c>
      <c r="AK351" s="15" t="s">
        <v>102</v>
      </c>
    </row>
    <row r="352" spans="33:37" x14ac:dyDescent="0.4">
      <c r="AG352" s="70" t="s">
        <v>101</v>
      </c>
      <c r="AH352" s="70" t="s">
        <v>105</v>
      </c>
      <c r="AI352" s="70" t="s">
        <v>105</v>
      </c>
      <c r="AJ352" s="70" t="s">
        <v>98</v>
      </c>
      <c r="AK352" s="15" t="s">
        <v>102</v>
      </c>
    </row>
    <row r="353" spans="33:37" x14ac:dyDescent="0.4">
      <c r="AG353" s="70" t="s">
        <v>101</v>
      </c>
      <c r="AH353" s="70" t="s">
        <v>105</v>
      </c>
      <c r="AI353" s="71" t="s">
        <v>112</v>
      </c>
      <c r="AJ353" s="70" t="s">
        <v>101</v>
      </c>
      <c r="AK353" s="15" t="s">
        <v>102</v>
      </c>
    </row>
    <row r="354" spans="33:37" x14ac:dyDescent="0.4">
      <c r="AG354" s="70" t="s">
        <v>101</v>
      </c>
      <c r="AH354" s="70" t="s">
        <v>105</v>
      </c>
      <c r="AI354" s="71" t="s">
        <v>112</v>
      </c>
      <c r="AJ354" s="70" t="s">
        <v>100</v>
      </c>
      <c r="AK354" s="15" t="s">
        <v>102</v>
      </c>
    </row>
    <row r="355" spans="33:37" x14ac:dyDescent="0.4">
      <c r="AG355" s="70" t="s">
        <v>101</v>
      </c>
      <c r="AH355" s="70" t="s">
        <v>105</v>
      </c>
      <c r="AI355" s="71" t="s">
        <v>112</v>
      </c>
      <c r="AJ355" s="70" t="s">
        <v>108</v>
      </c>
      <c r="AK355" s="15" t="s">
        <v>102</v>
      </c>
    </row>
    <row r="356" spans="33:37" x14ac:dyDescent="0.4">
      <c r="AG356" s="70" t="s">
        <v>101</v>
      </c>
      <c r="AH356" s="70" t="s">
        <v>105</v>
      </c>
      <c r="AI356" s="71" t="s">
        <v>112</v>
      </c>
      <c r="AJ356" s="70" t="s">
        <v>105</v>
      </c>
      <c r="AK356" s="15" t="s">
        <v>102</v>
      </c>
    </row>
    <row r="357" spans="33:37" x14ac:dyDescent="0.4">
      <c r="AG357" s="70" t="s">
        <v>101</v>
      </c>
      <c r="AH357" s="70" t="s">
        <v>105</v>
      </c>
      <c r="AI357" s="71" t="s">
        <v>112</v>
      </c>
      <c r="AJ357" s="71" t="s">
        <v>112</v>
      </c>
      <c r="AK357" s="15" t="s">
        <v>102</v>
      </c>
    </row>
    <row r="358" spans="33:37" x14ac:dyDescent="0.4">
      <c r="AG358" s="70" t="s">
        <v>101</v>
      </c>
      <c r="AH358" s="70" t="s">
        <v>105</v>
      </c>
      <c r="AI358" s="71" t="s">
        <v>112</v>
      </c>
      <c r="AJ358" s="70" t="s">
        <v>98</v>
      </c>
      <c r="AK358" s="15" t="s">
        <v>102</v>
      </c>
    </row>
    <row r="359" spans="33:37" x14ac:dyDescent="0.4">
      <c r="AG359" s="70" t="s">
        <v>101</v>
      </c>
      <c r="AH359" s="70" t="s">
        <v>105</v>
      </c>
      <c r="AI359" s="70" t="s">
        <v>98</v>
      </c>
      <c r="AJ359" s="70" t="s">
        <v>101</v>
      </c>
      <c r="AK359" s="15" t="s">
        <v>102</v>
      </c>
    </row>
    <row r="360" spans="33:37" x14ac:dyDescent="0.4">
      <c r="AG360" s="70" t="s">
        <v>101</v>
      </c>
      <c r="AH360" s="70" t="s">
        <v>105</v>
      </c>
      <c r="AI360" s="70" t="s">
        <v>98</v>
      </c>
      <c r="AJ360" s="70" t="s">
        <v>100</v>
      </c>
      <c r="AK360" s="15" t="s">
        <v>102</v>
      </c>
    </row>
    <row r="361" spans="33:37" x14ac:dyDescent="0.4">
      <c r="AG361" s="70" t="s">
        <v>101</v>
      </c>
      <c r="AH361" s="70" t="s">
        <v>105</v>
      </c>
      <c r="AI361" s="70" t="s">
        <v>98</v>
      </c>
      <c r="AJ361" s="70" t="s">
        <v>108</v>
      </c>
      <c r="AK361" s="15" t="s">
        <v>102</v>
      </c>
    </row>
    <row r="362" spans="33:37" x14ac:dyDescent="0.4">
      <c r="AG362" s="70" t="s">
        <v>101</v>
      </c>
      <c r="AH362" s="70" t="s">
        <v>105</v>
      </c>
      <c r="AI362" s="70" t="s">
        <v>98</v>
      </c>
      <c r="AJ362" s="70" t="s">
        <v>105</v>
      </c>
      <c r="AK362" s="15" t="s">
        <v>102</v>
      </c>
    </row>
    <row r="363" spans="33:37" x14ac:dyDescent="0.4">
      <c r="AG363" s="70" t="s">
        <v>101</v>
      </c>
      <c r="AH363" s="70" t="s">
        <v>105</v>
      </c>
      <c r="AI363" s="70" t="s">
        <v>98</v>
      </c>
      <c r="AJ363" s="71" t="s">
        <v>112</v>
      </c>
      <c r="AK363" s="15" t="s">
        <v>102</v>
      </c>
    </row>
    <row r="364" spans="33:37" x14ac:dyDescent="0.4">
      <c r="AG364" s="70" t="s">
        <v>101</v>
      </c>
      <c r="AH364" s="70" t="s">
        <v>105</v>
      </c>
      <c r="AI364" s="70" t="s">
        <v>98</v>
      </c>
      <c r="AJ364" s="70" t="s">
        <v>98</v>
      </c>
      <c r="AK364" s="15" t="s">
        <v>102</v>
      </c>
    </row>
    <row r="365" spans="33:37" x14ac:dyDescent="0.4">
      <c r="AG365" s="70" t="s">
        <v>101</v>
      </c>
      <c r="AH365" s="71" t="s">
        <v>112</v>
      </c>
      <c r="AI365" s="70" t="s">
        <v>101</v>
      </c>
      <c r="AJ365" s="70" t="s">
        <v>101</v>
      </c>
      <c r="AK365" s="15" t="s">
        <v>102</v>
      </c>
    </row>
    <row r="366" spans="33:37" x14ac:dyDescent="0.4">
      <c r="AG366" s="70" t="s">
        <v>101</v>
      </c>
      <c r="AH366" s="71" t="s">
        <v>112</v>
      </c>
      <c r="AI366" s="70" t="s">
        <v>101</v>
      </c>
      <c r="AJ366" s="70" t="s">
        <v>100</v>
      </c>
      <c r="AK366" s="15" t="s">
        <v>102</v>
      </c>
    </row>
    <row r="367" spans="33:37" x14ac:dyDescent="0.4">
      <c r="AG367" s="70" t="s">
        <v>101</v>
      </c>
      <c r="AH367" s="71" t="s">
        <v>112</v>
      </c>
      <c r="AI367" s="70" t="s">
        <v>101</v>
      </c>
      <c r="AJ367" s="70" t="s">
        <v>108</v>
      </c>
      <c r="AK367" s="15" t="s">
        <v>102</v>
      </c>
    </row>
    <row r="368" spans="33:37" x14ac:dyDescent="0.4">
      <c r="AG368" s="70" t="s">
        <v>101</v>
      </c>
      <c r="AH368" s="71" t="s">
        <v>112</v>
      </c>
      <c r="AI368" s="70" t="s">
        <v>101</v>
      </c>
      <c r="AJ368" s="70" t="s">
        <v>105</v>
      </c>
      <c r="AK368" s="15" t="s">
        <v>102</v>
      </c>
    </row>
    <row r="369" spans="33:37" x14ac:dyDescent="0.4">
      <c r="AG369" s="70" t="s">
        <v>101</v>
      </c>
      <c r="AH369" s="71" t="s">
        <v>112</v>
      </c>
      <c r="AI369" s="70" t="s">
        <v>101</v>
      </c>
      <c r="AJ369" s="71" t="s">
        <v>112</v>
      </c>
      <c r="AK369" s="15" t="s">
        <v>102</v>
      </c>
    </row>
    <row r="370" spans="33:37" x14ac:dyDescent="0.4">
      <c r="AG370" s="70" t="s">
        <v>101</v>
      </c>
      <c r="AH370" s="71" t="s">
        <v>112</v>
      </c>
      <c r="AI370" s="70" t="s">
        <v>101</v>
      </c>
      <c r="AJ370" s="70" t="s">
        <v>98</v>
      </c>
      <c r="AK370" s="15" t="s">
        <v>102</v>
      </c>
    </row>
    <row r="371" spans="33:37" x14ac:dyDescent="0.4">
      <c r="AG371" s="70" t="s">
        <v>101</v>
      </c>
      <c r="AH371" s="71" t="s">
        <v>112</v>
      </c>
      <c r="AI371" s="70" t="s">
        <v>100</v>
      </c>
      <c r="AJ371" s="70" t="s">
        <v>101</v>
      </c>
      <c r="AK371" s="15" t="s">
        <v>102</v>
      </c>
    </row>
    <row r="372" spans="33:37" x14ac:dyDescent="0.4">
      <c r="AG372" s="70" t="s">
        <v>101</v>
      </c>
      <c r="AH372" s="71" t="s">
        <v>112</v>
      </c>
      <c r="AI372" s="70" t="s">
        <v>100</v>
      </c>
      <c r="AJ372" s="70" t="s">
        <v>100</v>
      </c>
      <c r="AK372" s="15" t="s">
        <v>102</v>
      </c>
    </row>
    <row r="373" spans="33:37" x14ac:dyDescent="0.4">
      <c r="AG373" s="70" t="s">
        <v>101</v>
      </c>
      <c r="AH373" s="71" t="s">
        <v>112</v>
      </c>
      <c r="AI373" s="70" t="s">
        <v>100</v>
      </c>
      <c r="AJ373" s="70" t="s">
        <v>108</v>
      </c>
      <c r="AK373" s="15" t="s">
        <v>102</v>
      </c>
    </row>
    <row r="374" spans="33:37" x14ac:dyDescent="0.4">
      <c r="AG374" s="70" t="s">
        <v>101</v>
      </c>
      <c r="AH374" s="71" t="s">
        <v>112</v>
      </c>
      <c r="AI374" s="70" t="s">
        <v>100</v>
      </c>
      <c r="AJ374" s="70" t="s">
        <v>105</v>
      </c>
      <c r="AK374" s="15" t="s">
        <v>102</v>
      </c>
    </row>
    <row r="375" spans="33:37" x14ac:dyDescent="0.4">
      <c r="AG375" s="70" t="s">
        <v>101</v>
      </c>
      <c r="AH375" s="71" t="s">
        <v>112</v>
      </c>
      <c r="AI375" s="70" t="s">
        <v>100</v>
      </c>
      <c r="AJ375" s="71" t="s">
        <v>112</v>
      </c>
      <c r="AK375" s="15" t="s">
        <v>102</v>
      </c>
    </row>
    <row r="376" spans="33:37" x14ac:dyDescent="0.4">
      <c r="AG376" s="70" t="s">
        <v>101</v>
      </c>
      <c r="AH376" s="71" t="s">
        <v>112</v>
      </c>
      <c r="AI376" s="70" t="s">
        <v>100</v>
      </c>
      <c r="AJ376" s="70" t="s">
        <v>98</v>
      </c>
      <c r="AK376" s="15" t="s">
        <v>102</v>
      </c>
    </row>
    <row r="377" spans="33:37" x14ac:dyDescent="0.4">
      <c r="AG377" s="70" t="s">
        <v>101</v>
      </c>
      <c r="AH377" s="71" t="s">
        <v>112</v>
      </c>
      <c r="AI377" s="70" t="s">
        <v>108</v>
      </c>
      <c r="AJ377" s="70" t="s">
        <v>101</v>
      </c>
      <c r="AK377" s="15" t="s">
        <v>102</v>
      </c>
    </row>
    <row r="378" spans="33:37" x14ac:dyDescent="0.4">
      <c r="AG378" s="70" t="s">
        <v>101</v>
      </c>
      <c r="AH378" s="71" t="s">
        <v>112</v>
      </c>
      <c r="AI378" s="70" t="s">
        <v>108</v>
      </c>
      <c r="AJ378" s="70" t="s">
        <v>100</v>
      </c>
      <c r="AK378" s="15" t="s">
        <v>102</v>
      </c>
    </row>
    <row r="379" spans="33:37" x14ac:dyDescent="0.4">
      <c r="AG379" s="70" t="s">
        <v>101</v>
      </c>
      <c r="AH379" s="71" t="s">
        <v>112</v>
      </c>
      <c r="AI379" s="70" t="s">
        <v>108</v>
      </c>
      <c r="AJ379" s="70" t="s">
        <v>108</v>
      </c>
      <c r="AK379" s="15" t="s">
        <v>102</v>
      </c>
    </row>
    <row r="380" spans="33:37" x14ac:dyDescent="0.4">
      <c r="AG380" s="70" t="s">
        <v>101</v>
      </c>
      <c r="AH380" s="71" t="s">
        <v>112</v>
      </c>
      <c r="AI380" s="70" t="s">
        <v>108</v>
      </c>
      <c r="AJ380" s="70" t="s">
        <v>105</v>
      </c>
      <c r="AK380" s="15" t="s">
        <v>102</v>
      </c>
    </row>
    <row r="381" spans="33:37" x14ac:dyDescent="0.4">
      <c r="AG381" s="70" t="s">
        <v>101</v>
      </c>
      <c r="AH381" s="71" t="s">
        <v>112</v>
      </c>
      <c r="AI381" s="70" t="s">
        <v>108</v>
      </c>
      <c r="AJ381" s="71" t="s">
        <v>112</v>
      </c>
      <c r="AK381" s="15" t="s">
        <v>102</v>
      </c>
    </row>
    <row r="382" spans="33:37" x14ac:dyDescent="0.4">
      <c r="AG382" s="70" t="s">
        <v>101</v>
      </c>
      <c r="AH382" s="71" t="s">
        <v>112</v>
      </c>
      <c r="AI382" s="70" t="s">
        <v>108</v>
      </c>
      <c r="AJ382" s="70" t="s">
        <v>98</v>
      </c>
      <c r="AK382" s="15" t="s">
        <v>102</v>
      </c>
    </row>
    <row r="383" spans="33:37" x14ac:dyDescent="0.4">
      <c r="AG383" s="70" t="s">
        <v>101</v>
      </c>
      <c r="AH383" s="71" t="s">
        <v>112</v>
      </c>
      <c r="AI383" s="70" t="s">
        <v>105</v>
      </c>
      <c r="AJ383" s="70" t="s">
        <v>101</v>
      </c>
      <c r="AK383" s="15" t="s">
        <v>102</v>
      </c>
    </row>
    <row r="384" spans="33:37" x14ac:dyDescent="0.4">
      <c r="AG384" s="70" t="s">
        <v>101</v>
      </c>
      <c r="AH384" s="71" t="s">
        <v>112</v>
      </c>
      <c r="AI384" s="70" t="s">
        <v>105</v>
      </c>
      <c r="AJ384" s="70" t="s">
        <v>100</v>
      </c>
      <c r="AK384" s="15" t="s">
        <v>102</v>
      </c>
    </row>
    <row r="385" spans="33:37" x14ac:dyDescent="0.4">
      <c r="AG385" s="70" t="s">
        <v>101</v>
      </c>
      <c r="AH385" s="71" t="s">
        <v>112</v>
      </c>
      <c r="AI385" s="70" t="s">
        <v>105</v>
      </c>
      <c r="AJ385" s="70" t="s">
        <v>108</v>
      </c>
      <c r="AK385" s="15" t="s">
        <v>102</v>
      </c>
    </row>
    <row r="386" spans="33:37" x14ac:dyDescent="0.4">
      <c r="AG386" s="70" t="s">
        <v>101</v>
      </c>
      <c r="AH386" s="71" t="s">
        <v>112</v>
      </c>
      <c r="AI386" s="70" t="s">
        <v>105</v>
      </c>
      <c r="AJ386" s="70" t="s">
        <v>105</v>
      </c>
      <c r="AK386" s="15" t="s">
        <v>102</v>
      </c>
    </row>
    <row r="387" spans="33:37" x14ac:dyDescent="0.4">
      <c r="AG387" s="70" t="s">
        <v>101</v>
      </c>
      <c r="AH387" s="71" t="s">
        <v>112</v>
      </c>
      <c r="AI387" s="70" t="s">
        <v>105</v>
      </c>
      <c r="AJ387" s="71" t="s">
        <v>112</v>
      </c>
      <c r="AK387" s="15" t="s">
        <v>102</v>
      </c>
    </row>
    <row r="388" spans="33:37" x14ac:dyDescent="0.4">
      <c r="AG388" s="70" t="s">
        <v>101</v>
      </c>
      <c r="AH388" s="71" t="s">
        <v>112</v>
      </c>
      <c r="AI388" s="70" t="s">
        <v>105</v>
      </c>
      <c r="AJ388" s="70" t="s">
        <v>98</v>
      </c>
      <c r="AK388" s="15" t="s">
        <v>102</v>
      </c>
    </row>
    <row r="389" spans="33:37" x14ac:dyDescent="0.4">
      <c r="AG389" s="70" t="s">
        <v>101</v>
      </c>
      <c r="AH389" s="71" t="s">
        <v>112</v>
      </c>
      <c r="AI389" s="71" t="s">
        <v>112</v>
      </c>
      <c r="AJ389" s="70" t="s">
        <v>101</v>
      </c>
      <c r="AK389" s="15" t="s">
        <v>102</v>
      </c>
    </row>
    <row r="390" spans="33:37" x14ac:dyDescent="0.4">
      <c r="AG390" s="70" t="s">
        <v>101</v>
      </c>
      <c r="AH390" s="71" t="s">
        <v>112</v>
      </c>
      <c r="AI390" s="71" t="s">
        <v>112</v>
      </c>
      <c r="AJ390" s="70" t="s">
        <v>100</v>
      </c>
      <c r="AK390" s="15" t="s">
        <v>102</v>
      </c>
    </row>
    <row r="391" spans="33:37" x14ac:dyDescent="0.4">
      <c r="AG391" s="70" t="s">
        <v>101</v>
      </c>
      <c r="AH391" s="71" t="s">
        <v>112</v>
      </c>
      <c r="AI391" s="71" t="s">
        <v>112</v>
      </c>
      <c r="AJ391" s="70" t="s">
        <v>108</v>
      </c>
      <c r="AK391" s="15" t="s">
        <v>102</v>
      </c>
    </row>
    <row r="392" spans="33:37" x14ac:dyDescent="0.4">
      <c r="AG392" s="70" t="s">
        <v>101</v>
      </c>
      <c r="AH392" s="71" t="s">
        <v>112</v>
      </c>
      <c r="AI392" s="71" t="s">
        <v>112</v>
      </c>
      <c r="AJ392" s="70" t="s">
        <v>105</v>
      </c>
      <c r="AK392" s="15" t="s">
        <v>102</v>
      </c>
    </row>
    <row r="393" spans="33:37" x14ac:dyDescent="0.4">
      <c r="AG393" s="70" t="s">
        <v>101</v>
      </c>
      <c r="AH393" s="71" t="s">
        <v>112</v>
      </c>
      <c r="AI393" s="71" t="s">
        <v>112</v>
      </c>
      <c r="AJ393" s="71" t="s">
        <v>112</v>
      </c>
      <c r="AK393" s="15" t="s">
        <v>102</v>
      </c>
    </row>
    <row r="394" spans="33:37" x14ac:dyDescent="0.4">
      <c r="AG394" s="70" t="s">
        <v>101</v>
      </c>
      <c r="AH394" s="71" t="s">
        <v>112</v>
      </c>
      <c r="AI394" s="71" t="s">
        <v>112</v>
      </c>
      <c r="AJ394" s="70" t="s">
        <v>98</v>
      </c>
      <c r="AK394" s="15" t="s">
        <v>102</v>
      </c>
    </row>
    <row r="395" spans="33:37" x14ac:dyDescent="0.4">
      <c r="AG395" s="70" t="s">
        <v>101</v>
      </c>
      <c r="AH395" s="71" t="s">
        <v>112</v>
      </c>
      <c r="AI395" s="70" t="s">
        <v>98</v>
      </c>
      <c r="AJ395" s="70" t="s">
        <v>101</v>
      </c>
      <c r="AK395" s="15" t="s">
        <v>102</v>
      </c>
    </row>
    <row r="396" spans="33:37" x14ac:dyDescent="0.4">
      <c r="AG396" s="70" t="s">
        <v>101</v>
      </c>
      <c r="AH396" s="71" t="s">
        <v>112</v>
      </c>
      <c r="AI396" s="70" t="s">
        <v>98</v>
      </c>
      <c r="AJ396" s="70" t="s">
        <v>100</v>
      </c>
      <c r="AK396" s="15" t="s">
        <v>102</v>
      </c>
    </row>
    <row r="397" spans="33:37" x14ac:dyDescent="0.4">
      <c r="AG397" s="70" t="s">
        <v>101</v>
      </c>
      <c r="AH397" s="71" t="s">
        <v>112</v>
      </c>
      <c r="AI397" s="70" t="s">
        <v>98</v>
      </c>
      <c r="AJ397" s="70" t="s">
        <v>108</v>
      </c>
      <c r="AK397" s="15" t="s">
        <v>102</v>
      </c>
    </row>
    <row r="398" spans="33:37" x14ac:dyDescent="0.4">
      <c r="AG398" s="70" t="s">
        <v>101</v>
      </c>
      <c r="AH398" s="71" t="s">
        <v>112</v>
      </c>
      <c r="AI398" s="70" t="s">
        <v>98</v>
      </c>
      <c r="AJ398" s="70" t="s">
        <v>105</v>
      </c>
      <c r="AK398" s="15" t="s">
        <v>102</v>
      </c>
    </row>
    <row r="399" spans="33:37" x14ac:dyDescent="0.4">
      <c r="AG399" s="70" t="s">
        <v>101</v>
      </c>
      <c r="AH399" s="71" t="s">
        <v>112</v>
      </c>
      <c r="AI399" s="70" t="s">
        <v>98</v>
      </c>
      <c r="AJ399" s="71" t="s">
        <v>112</v>
      </c>
      <c r="AK399" s="15" t="s">
        <v>102</v>
      </c>
    </row>
    <row r="400" spans="33:37" x14ac:dyDescent="0.4">
      <c r="AG400" s="70" t="s">
        <v>101</v>
      </c>
      <c r="AH400" s="71" t="s">
        <v>112</v>
      </c>
      <c r="AI400" s="70" t="s">
        <v>98</v>
      </c>
      <c r="AJ400" s="70" t="s">
        <v>98</v>
      </c>
      <c r="AK400" s="15" t="s">
        <v>102</v>
      </c>
    </row>
    <row r="401" spans="33:37" x14ac:dyDescent="0.4">
      <c r="AG401" s="70" t="s">
        <v>101</v>
      </c>
      <c r="AH401" s="70" t="s">
        <v>98</v>
      </c>
      <c r="AI401" s="70" t="s">
        <v>101</v>
      </c>
      <c r="AJ401" s="70" t="s">
        <v>101</v>
      </c>
      <c r="AK401" s="15" t="s">
        <v>102</v>
      </c>
    </row>
    <row r="402" spans="33:37" x14ac:dyDescent="0.4">
      <c r="AG402" s="70" t="s">
        <v>101</v>
      </c>
      <c r="AH402" s="70" t="s">
        <v>98</v>
      </c>
      <c r="AI402" s="70" t="s">
        <v>101</v>
      </c>
      <c r="AJ402" s="70" t="s">
        <v>100</v>
      </c>
      <c r="AK402" s="15" t="s">
        <v>102</v>
      </c>
    </row>
    <row r="403" spans="33:37" x14ac:dyDescent="0.4">
      <c r="AG403" s="70" t="s">
        <v>101</v>
      </c>
      <c r="AH403" s="70" t="s">
        <v>98</v>
      </c>
      <c r="AI403" s="70" t="s">
        <v>101</v>
      </c>
      <c r="AJ403" s="70" t="s">
        <v>108</v>
      </c>
      <c r="AK403" s="15" t="s">
        <v>102</v>
      </c>
    </row>
    <row r="404" spans="33:37" x14ac:dyDescent="0.4">
      <c r="AG404" s="70" t="s">
        <v>101</v>
      </c>
      <c r="AH404" s="70" t="s">
        <v>98</v>
      </c>
      <c r="AI404" s="70" t="s">
        <v>101</v>
      </c>
      <c r="AJ404" s="70" t="s">
        <v>105</v>
      </c>
      <c r="AK404" s="15" t="s">
        <v>102</v>
      </c>
    </row>
    <row r="405" spans="33:37" x14ac:dyDescent="0.4">
      <c r="AG405" s="70" t="s">
        <v>101</v>
      </c>
      <c r="AH405" s="70" t="s">
        <v>98</v>
      </c>
      <c r="AI405" s="70" t="s">
        <v>101</v>
      </c>
      <c r="AJ405" s="71" t="s">
        <v>112</v>
      </c>
      <c r="AK405" s="15" t="s">
        <v>102</v>
      </c>
    </row>
    <row r="406" spans="33:37" x14ac:dyDescent="0.4">
      <c r="AG406" s="70" t="s">
        <v>101</v>
      </c>
      <c r="AH406" s="70" t="s">
        <v>98</v>
      </c>
      <c r="AI406" s="70" t="s">
        <v>101</v>
      </c>
      <c r="AJ406" s="70" t="s">
        <v>98</v>
      </c>
      <c r="AK406" s="15" t="s">
        <v>102</v>
      </c>
    </row>
    <row r="407" spans="33:37" x14ac:dyDescent="0.4">
      <c r="AG407" s="70" t="s">
        <v>101</v>
      </c>
      <c r="AH407" s="70" t="s">
        <v>98</v>
      </c>
      <c r="AI407" s="70" t="s">
        <v>100</v>
      </c>
      <c r="AJ407" s="70" t="s">
        <v>101</v>
      </c>
      <c r="AK407" s="15" t="s">
        <v>102</v>
      </c>
    </row>
    <row r="408" spans="33:37" x14ac:dyDescent="0.4">
      <c r="AG408" s="70" t="s">
        <v>101</v>
      </c>
      <c r="AH408" s="70" t="s">
        <v>98</v>
      </c>
      <c r="AI408" s="70" t="s">
        <v>100</v>
      </c>
      <c r="AJ408" s="70" t="s">
        <v>100</v>
      </c>
      <c r="AK408" s="15" t="s">
        <v>102</v>
      </c>
    </row>
    <row r="409" spans="33:37" x14ac:dyDescent="0.4">
      <c r="AG409" s="70" t="s">
        <v>101</v>
      </c>
      <c r="AH409" s="70" t="s">
        <v>98</v>
      </c>
      <c r="AI409" s="70" t="s">
        <v>100</v>
      </c>
      <c r="AJ409" s="70" t="s">
        <v>108</v>
      </c>
      <c r="AK409" s="15" t="s">
        <v>102</v>
      </c>
    </row>
    <row r="410" spans="33:37" x14ac:dyDescent="0.4">
      <c r="AG410" s="70" t="s">
        <v>101</v>
      </c>
      <c r="AH410" s="70" t="s">
        <v>98</v>
      </c>
      <c r="AI410" s="70" t="s">
        <v>100</v>
      </c>
      <c r="AJ410" s="70" t="s">
        <v>105</v>
      </c>
      <c r="AK410" s="15" t="s">
        <v>102</v>
      </c>
    </row>
    <row r="411" spans="33:37" x14ac:dyDescent="0.4">
      <c r="AG411" s="70" t="s">
        <v>101</v>
      </c>
      <c r="AH411" s="70" t="s">
        <v>98</v>
      </c>
      <c r="AI411" s="70" t="s">
        <v>100</v>
      </c>
      <c r="AJ411" s="71" t="s">
        <v>112</v>
      </c>
      <c r="AK411" s="15" t="s">
        <v>102</v>
      </c>
    </row>
    <row r="412" spans="33:37" x14ac:dyDescent="0.4">
      <c r="AG412" s="70" t="s">
        <v>101</v>
      </c>
      <c r="AH412" s="70" t="s">
        <v>98</v>
      </c>
      <c r="AI412" s="70" t="s">
        <v>100</v>
      </c>
      <c r="AJ412" s="70" t="s">
        <v>98</v>
      </c>
      <c r="AK412" s="15" t="s">
        <v>102</v>
      </c>
    </row>
    <row r="413" spans="33:37" x14ac:dyDescent="0.4">
      <c r="AG413" s="70" t="s">
        <v>101</v>
      </c>
      <c r="AH413" s="70" t="s">
        <v>98</v>
      </c>
      <c r="AI413" s="70" t="s">
        <v>108</v>
      </c>
      <c r="AJ413" s="70" t="s">
        <v>101</v>
      </c>
      <c r="AK413" s="15" t="s">
        <v>102</v>
      </c>
    </row>
    <row r="414" spans="33:37" x14ac:dyDescent="0.4">
      <c r="AG414" s="70" t="s">
        <v>101</v>
      </c>
      <c r="AH414" s="70" t="s">
        <v>98</v>
      </c>
      <c r="AI414" s="70" t="s">
        <v>108</v>
      </c>
      <c r="AJ414" s="70" t="s">
        <v>100</v>
      </c>
      <c r="AK414" s="15" t="s">
        <v>102</v>
      </c>
    </row>
    <row r="415" spans="33:37" x14ac:dyDescent="0.4">
      <c r="AG415" s="70" t="s">
        <v>101</v>
      </c>
      <c r="AH415" s="70" t="s">
        <v>98</v>
      </c>
      <c r="AI415" s="70" t="s">
        <v>108</v>
      </c>
      <c r="AJ415" s="70" t="s">
        <v>108</v>
      </c>
      <c r="AK415" s="15" t="s">
        <v>102</v>
      </c>
    </row>
    <row r="416" spans="33:37" x14ac:dyDescent="0.4">
      <c r="AG416" s="70" t="s">
        <v>101</v>
      </c>
      <c r="AH416" s="70" t="s">
        <v>98</v>
      </c>
      <c r="AI416" s="70" t="s">
        <v>108</v>
      </c>
      <c r="AJ416" s="70" t="s">
        <v>105</v>
      </c>
      <c r="AK416" s="15" t="s">
        <v>102</v>
      </c>
    </row>
    <row r="417" spans="33:37" x14ac:dyDescent="0.4">
      <c r="AG417" s="70" t="s">
        <v>101</v>
      </c>
      <c r="AH417" s="70" t="s">
        <v>98</v>
      </c>
      <c r="AI417" s="70" t="s">
        <v>108</v>
      </c>
      <c r="AJ417" s="71" t="s">
        <v>112</v>
      </c>
      <c r="AK417" s="15" t="s">
        <v>102</v>
      </c>
    </row>
    <row r="418" spans="33:37" x14ac:dyDescent="0.4">
      <c r="AG418" s="70" t="s">
        <v>101</v>
      </c>
      <c r="AH418" s="70" t="s">
        <v>98</v>
      </c>
      <c r="AI418" s="70" t="s">
        <v>108</v>
      </c>
      <c r="AJ418" s="70" t="s">
        <v>98</v>
      </c>
      <c r="AK418" s="15" t="s">
        <v>102</v>
      </c>
    </row>
    <row r="419" spans="33:37" x14ac:dyDescent="0.4">
      <c r="AG419" s="70" t="s">
        <v>101</v>
      </c>
      <c r="AH419" s="70" t="s">
        <v>98</v>
      </c>
      <c r="AI419" s="70" t="s">
        <v>105</v>
      </c>
      <c r="AJ419" s="70" t="s">
        <v>101</v>
      </c>
      <c r="AK419" s="15" t="s">
        <v>102</v>
      </c>
    </row>
    <row r="420" spans="33:37" x14ac:dyDescent="0.4">
      <c r="AG420" s="70" t="s">
        <v>101</v>
      </c>
      <c r="AH420" s="70" t="s">
        <v>98</v>
      </c>
      <c r="AI420" s="70" t="s">
        <v>105</v>
      </c>
      <c r="AJ420" s="70" t="s">
        <v>100</v>
      </c>
      <c r="AK420" s="15" t="s">
        <v>102</v>
      </c>
    </row>
    <row r="421" spans="33:37" x14ac:dyDescent="0.4">
      <c r="AG421" s="70" t="s">
        <v>101</v>
      </c>
      <c r="AH421" s="70" t="s">
        <v>98</v>
      </c>
      <c r="AI421" s="70" t="s">
        <v>105</v>
      </c>
      <c r="AJ421" s="70" t="s">
        <v>108</v>
      </c>
      <c r="AK421" s="15" t="s">
        <v>102</v>
      </c>
    </row>
    <row r="422" spans="33:37" x14ac:dyDescent="0.4">
      <c r="AG422" s="70" t="s">
        <v>101</v>
      </c>
      <c r="AH422" s="70" t="s">
        <v>98</v>
      </c>
      <c r="AI422" s="70" t="s">
        <v>105</v>
      </c>
      <c r="AJ422" s="70" t="s">
        <v>105</v>
      </c>
      <c r="AK422" s="15" t="s">
        <v>102</v>
      </c>
    </row>
    <row r="423" spans="33:37" x14ac:dyDescent="0.4">
      <c r="AG423" s="70" t="s">
        <v>101</v>
      </c>
      <c r="AH423" s="70" t="s">
        <v>98</v>
      </c>
      <c r="AI423" s="70" t="s">
        <v>105</v>
      </c>
      <c r="AJ423" s="71" t="s">
        <v>112</v>
      </c>
      <c r="AK423" s="15" t="s">
        <v>102</v>
      </c>
    </row>
    <row r="424" spans="33:37" x14ac:dyDescent="0.4">
      <c r="AG424" s="70" t="s">
        <v>101</v>
      </c>
      <c r="AH424" s="70" t="s">
        <v>98</v>
      </c>
      <c r="AI424" s="70" t="s">
        <v>105</v>
      </c>
      <c r="AJ424" s="70" t="s">
        <v>98</v>
      </c>
      <c r="AK424" s="15" t="s">
        <v>102</v>
      </c>
    </row>
    <row r="425" spans="33:37" x14ac:dyDescent="0.4">
      <c r="AG425" s="70" t="s">
        <v>101</v>
      </c>
      <c r="AH425" s="70" t="s">
        <v>98</v>
      </c>
      <c r="AI425" s="71" t="s">
        <v>112</v>
      </c>
      <c r="AJ425" s="70" t="s">
        <v>101</v>
      </c>
      <c r="AK425" s="15" t="s">
        <v>102</v>
      </c>
    </row>
    <row r="426" spans="33:37" x14ac:dyDescent="0.4">
      <c r="AG426" s="70" t="s">
        <v>101</v>
      </c>
      <c r="AH426" s="70" t="s">
        <v>98</v>
      </c>
      <c r="AI426" s="71" t="s">
        <v>112</v>
      </c>
      <c r="AJ426" s="70" t="s">
        <v>100</v>
      </c>
      <c r="AK426" s="15" t="s">
        <v>102</v>
      </c>
    </row>
    <row r="427" spans="33:37" x14ac:dyDescent="0.4">
      <c r="AG427" s="70" t="s">
        <v>101</v>
      </c>
      <c r="AH427" s="70" t="s">
        <v>98</v>
      </c>
      <c r="AI427" s="71" t="s">
        <v>112</v>
      </c>
      <c r="AJ427" s="70" t="s">
        <v>108</v>
      </c>
      <c r="AK427" s="15" t="s">
        <v>102</v>
      </c>
    </row>
    <row r="428" spans="33:37" x14ac:dyDescent="0.4">
      <c r="AG428" s="70" t="s">
        <v>101</v>
      </c>
      <c r="AH428" s="70" t="s">
        <v>98</v>
      </c>
      <c r="AI428" s="71" t="s">
        <v>112</v>
      </c>
      <c r="AJ428" s="70" t="s">
        <v>105</v>
      </c>
      <c r="AK428" s="15" t="s">
        <v>102</v>
      </c>
    </row>
    <row r="429" spans="33:37" x14ac:dyDescent="0.4">
      <c r="AG429" s="70" t="s">
        <v>101</v>
      </c>
      <c r="AH429" s="70" t="s">
        <v>98</v>
      </c>
      <c r="AI429" s="71" t="s">
        <v>112</v>
      </c>
      <c r="AJ429" s="71" t="s">
        <v>112</v>
      </c>
      <c r="AK429" s="15" t="s">
        <v>102</v>
      </c>
    </row>
    <row r="430" spans="33:37" x14ac:dyDescent="0.4">
      <c r="AG430" s="70" t="s">
        <v>101</v>
      </c>
      <c r="AH430" s="70" t="s">
        <v>98</v>
      </c>
      <c r="AI430" s="71" t="s">
        <v>112</v>
      </c>
      <c r="AJ430" s="70" t="s">
        <v>98</v>
      </c>
      <c r="AK430" s="15" t="s">
        <v>102</v>
      </c>
    </row>
    <row r="431" spans="33:37" x14ac:dyDescent="0.4">
      <c r="AG431" s="70" t="s">
        <v>101</v>
      </c>
      <c r="AH431" s="70" t="s">
        <v>98</v>
      </c>
      <c r="AI431" s="70" t="s">
        <v>98</v>
      </c>
      <c r="AJ431" s="70" t="s">
        <v>101</v>
      </c>
      <c r="AK431" s="15" t="s">
        <v>102</v>
      </c>
    </row>
    <row r="432" spans="33:37" x14ac:dyDescent="0.4">
      <c r="AG432" s="70" t="s">
        <v>101</v>
      </c>
      <c r="AH432" s="70" t="s">
        <v>98</v>
      </c>
      <c r="AI432" s="70" t="s">
        <v>98</v>
      </c>
      <c r="AJ432" s="70" t="s">
        <v>100</v>
      </c>
      <c r="AK432" s="15" t="s">
        <v>102</v>
      </c>
    </row>
    <row r="433" spans="33:37" x14ac:dyDescent="0.4">
      <c r="AG433" s="70" t="s">
        <v>101</v>
      </c>
      <c r="AH433" s="70" t="s">
        <v>98</v>
      </c>
      <c r="AI433" s="70" t="s">
        <v>98</v>
      </c>
      <c r="AJ433" s="70" t="s">
        <v>108</v>
      </c>
      <c r="AK433" s="15" t="s">
        <v>102</v>
      </c>
    </row>
    <row r="434" spans="33:37" x14ac:dyDescent="0.4">
      <c r="AG434" s="70" t="s">
        <v>101</v>
      </c>
      <c r="AH434" s="70" t="s">
        <v>98</v>
      </c>
      <c r="AI434" s="70" t="s">
        <v>98</v>
      </c>
      <c r="AJ434" s="70" t="s">
        <v>105</v>
      </c>
      <c r="AK434" s="15" t="s">
        <v>102</v>
      </c>
    </row>
    <row r="435" spans="33:37" x14ac:dyDescent="0.4">
      <c r="AG435" s="70" t="s">
        <v>101</v>
      </c>
      <c r="AH435" s="70" t="s">
        <v>98</v>
      </c>
      <c r="AI435" s="70" t="s">
        <v>98</v>
      </c>
      <c r="AJ435" s="71" t="s">
        <v>112</v>
      </c>
      <c r="AK435" s="15" t="s">
        <v>102</v>
      </c>
    </row>
    <row r="436" spans="33:37" x14ac:dyDescent="0.4">
      <c r="AG436" s="70" t="s">
        <v>101</v>
      </c>
      <c r="AH436" s="70" t="s">
        <v>98</v>
      </c>
      <c r="AI436" s="70" t="s">
        <v>98</v>
      </c>
      <c r="AJ436" s="70" t="s">
        <v>98</v>
      </c>
      <c r="AK436" s="15" t="s">
        <v>102</v>
      </c>
    </row>
    <row r="437" spans="33:37" x14ac:dyDescent="0.4">
      <c r="AG437" s="15" t="s">
        <v>108</v>
      </c>
      <c r="AH437" s="15" t="s">
        <v>101</v>
      </c>
      <c r="AI437" s="15" t="s">
        <v>101</v>
      </c>
      <c r="AJ437" s="15" t="s">
        <v>101</v>
      </c>
      <c r="AK437" s="15" t="s">
        <v>102</v>
      </c>
    </row>
    <row r="438" spans="33:37" x14ac:dyDescent="0.4">
      <c r="AG438" s="15" t="s">
        <v>108</v>
      </c>
      <c r="AH438" s="15" t="s">
        <v>101</v>
      </c>
      <c r="AI438" s="15" t="s">
        <v>101</v>
      </c>
      <c r="AJ438" s="15" t="s">
        <v>100</v>
      </c>
      <c r="AK438" s="15" t="s">
        <v>102</v>
      </c>
    </row>
    <row r="439" spans="33:37" x14ac:dyDescent="0.4">
      <c r="AG439" s="15" t="s">
        <v>108</v>
      </c>
      <c r="AH439" s="15" t="s">
        <v>101</v>
      </c>
      <c r="AI439" s="15" t="s">
        <v>101</v>
      </c>
      <c r="AJ439" s="15" t="s">
        <v>108</v>
      </c>
      <c r="AK439" s="15" t="s">
        <v>102</v>
      </c>
    </row>
    <row r="440" spans="33:37" x14ac:dyDescent="0.4">
      <c r="AG440" s="15" t="s">
        <v>108</v>
      </c>
      <c r="AH440" s="15" t="s">
        <v>101</v>
      </c>
      <c r="AI440" s="15" t="s">
        <v>101</v>
      </c>
      <c r="AJ440" s="15" t="s">
        <v>105</v>
      </c>
      <c r="AK440" s="15" t="s">
        <v>102</v>
      </c>
    </row>
    <row r="441" spans="33:37" x14ac:dyDescent="0.4">
      <c r="AG441" s="15" t="s">
        <v>108</v>
      </c>
      <c r="AH441" s="15" t="s">
        <v>101</v>
      </c>
      <c r="AI441" s="15" t="s">
        <v>101</v>
      </c>
      <c r="AJ441" s="57" t="s">
        <v>112</v>
      </c>
      <c r="AK441" s="15" t="s">
        <v>102</v>
      </c>
    </row>
    <row r="442" spans="33:37" x14ac:dyDescent="0.4">
      <c r="AG442" s="15" t="s">
        <v>108</v>
      </c>
      <c r="AH442" s="15" t="s">
        <v>101</v>
      </c>
      <c r="AI442" s="15" t="s">
        <v>101</v>
      </c>
      <c r="AJ442" s="15" t="s">
        <v>98</v>
      </c>
      <c r="AK442" s="15" t="s">
        <v>102</v>
      </c>
    </row>
    <row r="443" spans="33:37" x14ac:dyDescent="0.4">
      <c r="AG443" s="15" t="s">
        <v>108</v>
      </c>
      <c r="AH443" s="15" t="s">
        <v>101</v>
      </c>
      <c r="AI443" s="15" t="s">
        <v>100</v>
      </c>
      <c r="AJ443" s="15" t="s">
        <v>101</v>
      </c>
      <c r="AK443" s="15" t="s">
        <v>102</v>
      </c>
    </row>
    <row r="444" spans="33:37" x14ac:dyDescent="0.4">
      <c r="AG444" s="15" t="s">
        <v>108</v>
      </c>
      <c r="AH444" s="15" t="s">
        <v>101</v>
      </c>
      <c r="AI444" s="15" t="s">
        <v>100</v>
      </c>
      <c r="AJ444" s="15" t="s">
        <v>100</v>
      </c>
      <c r="AK444" s="15" t="s">
        <v>102</v>
      </c>
    </row>
    <row r="445" spans="33:37" x14ac:dyDescent="0.4">
      <c r="AG445" s="15" t="s">
        <v>108</v>
      </c>
      <c r="AH445" s="15" t="s">
        <v>101</v>
      </c>
      <c r="AI445" s="15" t="s">
        <v>100</v>
      </c>
      <c r="AJ445" s="15" t="s">
        <v>108</v>
      </c>
      <c r="AK445" s="15" t="s">
        <v>102</v>
      </c>
    </row>
    <row r="446" spans="33:37" x14ac:dyDescent="0.4">
      <c r="AG446" s="15" t="s">
        <v>108</v>
      </c>
      <c r="AH446" s="15" t="s">
        <v>101</v>
      </c>
      <c r="AI446" s="15" t="s">
        <v>100</v>
      </c>
      <c r="AJ446" s="15" t="s">
        <v>105</v>
      </c>
      <c r="AK446" s="15" t="s">
        <v>102</v>
      </c>
    </row>
    <row r="447" spans="33:37" x14ac:dyDescent="0.4">
      <c r="AG447" s="15" t="s">
        <v>108</v>
      </c>
      <c r="AH447" s="15" t="s">
        <v>101</v>
      </c>
      <c r="AI447" s="15" t="s">
        <v>100</v>
      </c>
      <c r="AJ447" s="57" t="s">
        <v>112</v>
      </c>
      <c r="AK447" s="15" t="s">
        <v>102</v>
      </c>
    </row>
    <row r="448" spans="33:37" x14ac:dyDescent="0.4">
      <c r="AG448" s="15" t="s">
        <v>108</v>
      </c>
      <c r="AH448" s="15" t="s">
        <v>101</v>
      </c>
      <c r="AI448" s="15" t="s">
        <v>100</v>
      </c>
      <c r="AJ448" s="15" t="s">
        <v>98</v>
      </c>
      <c r="AK448" s="15" t="s">
        <v>102</v>
      </c>
    </row>
    <row r="449" spans="33:37" x14ac:dyDescent="0.4">
      <c r="AG449" s="15" t="s">
        <v>108</v>
      </c>
      <c r="AH449" s="15" t="s">
        <v>101</v>
      </c>
      <c r="AI449" s="15" t="s">
        <v>108</v>
      </c>
      <c r="AJ449" s="15" t="s">
        <v>101</v>
      </c>
      <c r="AK449" s="15" t="s">
        <v>102</v>
      </c>
    </row>
    <row r="450" spans="33:37" x14ac:dyDescent="0.4">
      <c r="AG450" s="15" t="s">
        <v>108</v>
      </c>
      <c r="AH450" s="15" t="s">
        <v>101</v>
      </c>
      <c r="AI450" s="15" t="s">
        <v>108</v>
      </c>
      <c r="AJ450" s="15" t="s">
        <v>100</v>
      </c>
      <c r="AK450" s="15" t="s">
        <v>102</v>
      </c>
    </row>
    <row r="451" spans="33:37" x14ac:dyDescent="0.4">
      <c r="AG451" s="15" t="s">
        <v>108</v>
      </c>
      <c r="AH451" s="15" t="s">
        <v>101</v>
      </c>
      <c r="AI451" s="15" t="s">
        <v>108</v>
      </c>
      <c r="AJ451" s="15" t="s">
        <v>108</v>
      </c>
      <c r="AK451" s="15" t="s">
        <v>102</v>
      </c>
    </row>
    <row r="452" spans="33:37" x14ac:dyDescent="0.4">
      <c r="AG452" s="15" t="s">
        <v>108</v>
      </c>
      <c r="AH452" s="15" t="s">
        <v>101</v>
      </c>
      <c r="AI452" s="15" t="s">
        <v>108</v>
      </c>
      <c r="AJ452" s="15" t="s">
        <v>105</v>
      </c>
      <c r="AK452" s="15" t="s">
        <v>102</v>
      </c>
    </row>
    <row r="453" spans="33:37" x14ac:dyDescent="0.4">
      <c r="AG453" s="15" t="s">
        <v>108</v>
      </c>
      <c r="AH453" s="15" t="s">
        <v>101</v>
      </c>
      <c r="AI453" s="15" t="s">
        <v>108</v>
      </c>
      <c r="AJ453" s="57" t="s">
        <v>112</v>
      </c>
      <c r="AK453" s="15" t="s">
        <v>102</v>
      </c>
    </row>
    <row r="454" spans="33:37" x14ac:dyDescent="0.4">
      <c r="AG454" s="15" t="s">
        <v>108</v>
      </c>
      <c r="AH454" s="15" t="s">
        <v>101</v>
      </c>
      <c r="AI454" s="15" t="s">
        <v>108</v>
      </c>
      <c r="AJ454" s="15" t="s">
        <v>98</v>
      </c>
      <c r="AK454" s="15" t="s">
        <v>102</v>
      </c>
    </row>
    <row r="455" spans="33:37" x14ac:dyDescent="0.4">
      <c r="AG455" s="15" t="s">
        <v>108</v>
      </c>
      <c r="AH455" s="15" t="s">
        <v>101</v>
      </c>
      <c r="AI455" s="15" t="s">
        <v>105</v>
      </c>
      <c r="AJ455" s="15" t="s">
        <v>101</v>
      </c>
      <c r="AK455" s="15" t="s">
        <v>102</v>
      </c>
    </row>
    <row r="456" spans="33:37" x14ac:dyDescent="0.4">
      <c r="AG456" s="15" t="s">
        <v>108</v>
      </c>
      <c r="AH456" s="15" t="s">
        <v>101</v>
      </c>
      <c r="AI456" s="15" t="s">
        <v>105</v>
      </c>
      <c r="AJ456" s="15" t="s">
        <v>100</v>
      </c>
      <c r="AK456" s="15" t="s">
        <v>102</v>
      </c>
    </row>
    <row r="457" spans="33:37" x14ac:dyDescent="0.4">
      <c r="AG457" s="15" t="s">
        <v>108</v>
      </c>
      <c r="AH457" s="15" t="s">
        <v>101</v>
      </c>
      <c r="AI457" s="15" t="s">
        <v>105</v>
      </c>
      <c r="AJ457" s="15" t="s">
        <v>108</v>
      </c>
      <c r="AK457" s="15" t="s">
        <v>102</v>
      </c>
    </row>
    <row r="458" spans="33:37" x14ac:dyDescent="0.4">
      <c r="AG458" s="15" t="s">
        <v>108</v>
      </c>
      <c r="AH458" s="15" t="s">
        <v>101</v>
      </c>
      <c r="AI458" s="15" t="s">
        <v>105</v>
      </c>
      <c r="AJ458" s="15" t="s">
        <v>105</v>
      </c>
      <c r="AK458" s="15" t="s">
        <v>102</v>
      </c>
    </row>
    <row r="459" spans="33:37" x14ac:dyDescent="0.4">
      <c r="AG459" s="15" t="s">
        <v>108</v>
      </c>
      <c r="AH459" s="15" t="s">
        <v>101</v>
      </c>
      <c r="AI459" s="15" t="s">
        <v>105</v>
      </c>
      <c r="AJ459" s="57" t="s">
        <v>112</v>
      </c>
      <c r="AK459" s="15" t="s">
        <v>102</v>
      </c>
    </row>
    <row r="460" spans="33:37" x14ac:dyDescent="0.4">
      <c r="AG460" s="15" t="s">
        <v>108</v>
      </c>
      <c r="AH460" s="15" t="s">
        <v>101</v>
      </c>
      <c r="AI460" s="15" t="s">
        <v>105</v>
      </c>
      <c r="AJ460" s="15" t="s">
        <v>98</v>
      </c>
      <c r="AK460" s="15" t="s">
        <v>102</v>
      </c>
    </row>
    <row r="461" spans="33:37" x14ac:dyDescent="0.4">
      <c r="AG461" s="15" t="s">
        <v>108</v>
      </c>
      <c r="AH461" s="15" t="s">
        <v>101</v>
      </c>
      <c r="AI461" s="57" t="s">
        <v>112</v>
      </c>
      <c r="AJ461" s="15" t="s">
        <v>101</v>
      </c>
      <c r="AK461" s="15" t="s">
        <v>102</v>
      </c>
    </row>
    <row r="462" spans="33:37" x14ac:dyDescent="0.4">
      <c r="AG462" s="15" t="s">
        <v>108</v>
      </c>
      <c r="AH462" s="15" t="s">
        <v>101</v>
      </c>
      <c r="AI462" s="57" t="s">
        <v>112</v>
      </c>
      <c r="AJ462" s="15" t="s">
        <v>100</v>
      </c>
      <c r="AK462" s="15" t="s">
        <v>102</v>
      </c>
    </row>
    <row r="463" spans="33:37" x14ac:dyDescent="0.4">
      <c r="AG463" s="15" t="s">
        <v>108</v>
      </c>
      <c r="AH463" s="15" t="s">
        <v>101</v>
      </c>
      <c r="AI463" s="57" t="s">
        <v>112</v>
      </c>
      <c r="AJ463" s="15" t="s">
        <v>108</v>
      </c>
      <c r="AK463" s="15" t="s">
        <v>102</v>
      </c>
    </row>
    <row r="464" spans="33:37" x14ac:dyDescent="0.4">
      <c r="AG464" s="15" t="s">
        <v>108</v>
      </c>
      <c r="AH464" s="15" t="s">
        <v>101</v>
      </c>
      <c r="AI464" s="57" t="s">
        <v>112</v>
      </c>
      <c r="AJ464" s="15" t="s">
        <v>105</v>
      </c>
      <c r="AK464" s="15" t="s">
        <v>102</v>
      </c>
    </row>
    <row r="465" spans="33:37" x14ac:dyDescent="0.4">
      <c r="AG465" s="15" t="s">
        <v>108</v>
      </c>
      <c r="AH465" s="15" t="s">
        <v>101</v>
      </c>
      <c r="AI465" s="57" t="s">
        <v>112</v>
      </c>
      <c r="AJ465" s="57" t="s">
        <v>112</v>
      </c>
      <c r="AK465" s="15" t="s">
        <v>102</v>
      </c>
    </row>
    <row r="466" spans="33:37" x14ac:dyDescent="0.4">
      <c r="AG466" s="15" t="s">
        <v>108</v>
      </c>
      <c r="AH466" s="15" t="s">
        <v>101</v>
      </c>
      <c r="AI466" s="57" t="s">
        <v>112</v>
      </c>
      <c r="AJ466" s="15" t="s">
        <v>98</v>
      </c>
      <c r="AK466" s="15" t="s">
        <v>102</v>
      </c>
    </row>
    <row r="467" spans="33:37" x14ac:dyDescent="0.4">
      <c r="AG467" s="15" t="s">
        <v>108</v>
      </c>
      <c r="AH467" s="15" t="s">
        <v>101</v>
      </c>
      <c r="AI467" s="15" t="s">
        <v>98</v>
      </c>
      <c r="AJ467" s="15" t="s">
        <v>101</v>
      </c>
      <c r="AK467" s="15" t="s">
        <v>102</v>
      </c>
    </row>
    <row r="468" spans="33:37" x14ac:dyDescent="0.4">
      <c r="AG468" s="15" t="s">
        <v>108</v>
      </c>
      <c r="AH468" s="15" t="s">
        <v>101</v>
      </c>
      <c r="AI468" s="15" t="s">
        <v>98</v>
      </c>
      <c r="AJ468" s="15" t="s">
        <v>100</v>
      </c>
      <c r="AK468" s="15" t="s">
        <v>102</v>
      </c>
    </row>
    <row r="469" spans="33:37" x14ac:dyDescent="0.4">
      <c r="AG469" s="15" t="s">
        <v>108</v>
      </c>
      <c r="AH469" s="15" t="s">
        <v>101</v>
      </c>
      <c r="AI469" s="15" t="s">
        <v>98</v>
      </c>
      <c r="AJ469" s="15" t="s">
        <v>108</v>
      </c>
      <c r="AK469" s="15" t="s">
        <v>102</v>
      </c>
    </row>
    <row r="470" spans="33:37" x14ac:dyDescent="0.4">
      <c r="AG470" s="15" t="s">
        <v>108</v>
      </c>
      <c r="AH470" s="15" t="s">
        <v>101</v>
      </c>
      <c r="AI470" s="15" t="s">
        <v>98</v>
      </c>
      <c r="AJ470" s="15" t="s">
        <v>105</v>
      </c>
      <c r="AK470" s="15" t="s">
        <v>102</v>
      </c>
    </row>
    <row r="471" spans="33:37" x14ac:dyDescent="0.4">
      <c r="AG471" s="15" t="s">
        <v>108</v>
      </c>
      <c r="AH471" s="15" t="s">
        <v>101</v>
      </c>
      <c r="AI471" s="15" t="s">
        <v>98</v>
      </c>
      <c r="AJ471" s="57" t="s">
        <v>112</v>
      </c>
      <c r="AK471" s="15" t="s">
        <v>102</v>
      </c>
    </row>
    <row r="472" spans="33:37" x14ac:dyDescent="0.4">
      <c r="AG472" s="15" t="s">
        <v>108</v>
      </c>
      <c r="AH472" s="15" t="s">
        <v>101</v>
      </c>
      <c r="AI472" s="15" t="s">
        <v>98</v>
      </c>
      <c r="AJ472" s="15" t="s">
        <v>98</v>
      </c>
      <c r="AK472" s="15" t="s">
        <v>102</v>
      </c>
    </row>
    <row r="473" spans="33:37" x14ac:dyDescent="0.4">
      <c r="AG473" s="15" t="s">
        <v>108</v>
      </c>
      <c r="AH473" s="15" t="s">
        <v>100</v>
      </c>
      <c r="AI473" s="15" t="s">
        <v>101</v>
      </c>
      <c r="AJ473" s="15" t="s">
        <v>101</v>
      </c>
      <c r="AK473" s="15" t="s">
        <v>102</v>
      </c>
    </row>
    <row r="474" spans="33:37" x14ac:dyDescent="0.4">
      <c r="AG474" s="15" t="s">
        <v>108</v>
      </c>
      <c r="AH474" s="15" t="s">
        <v>100</v>
      </c>
      <c r="AI474" s="15" t="s">
        <v>101</v>
      </c>
      <c r="AJ474" s="15" t="s">
        <v>100</v>
      </c>
      <c r="AK474" s="15" t="s">
        <v>102</v>
      </c>
    </row>
    <row r="475" spans="33:37" x14ac:dyDescent="0.4">
      <c r="AG475" s="15" t="s">
        <v>108</v>
      </c>
      <c r="AH475" s="15" t="s">
        <v>100</v>
      </c>
      <c r="AI475" s="15" t="s">
        <v>101</v>
      </c>
      <c r="AJ475" s="15" t="s">
        <v>108</v>
      </c>
      <c r="AK475" s="15" t="s">
        <v>102</v>
      </c>
    </row>
    <row r="476" spans="33:37" x14ac:dyDescent="0.4">
      <c r="AG476" s="15" t="s">
        <v>108</v>
      </c>
      <c r="AH476" s="15" t="s">
        <v>100</v>
      </c>
      <c r="AI476" s="15" t="s">
        <v>101</v>
      </c>
      <c r="AJ476" s="15" t="s">
        <v>105</v>
      </c>
      <c r="AK476" s="15" t="s">
        <v>102</v>
      </c>
    </row>
    <row r="477" spans="33:37" x14ac:dyDescent="0.4">
      <c r="AG477" s="15" t="s">
        <v>108</v>
      </c>
      <c r="AH477" s="15" t="s">
        <v>100</v>
      </c>
      <c r="AI477" s="15" t="s">
        <v>101</v>
      </c>
      <c r="AJ477" s="57" t="s">
        <v>112</v>
      </c>
      <c r="AK477" s="15" t="s">
        <v>102</v>
      </c>
    </row>
    <row r="478" spans="33:37" x14ac:dyDescent="0.4">
      <c r="AG478" s="15" t="s">
        <v>108</v>
      </c>
      <c r="AH478" s="15" t="s">
        <v>100</v>
      </c>
      <c r="AI478" s="15" t="s">
        <v>101</v>
      </c>
      <c r="AJ478" s="15" t="s">
        <v>98</v>
      </c>
      <c r="AK478" s="15" t="s">
        <v>102</v>
      </c>
    </row>
    <row r="479" spans="33:37" x14ac:dyDescent="0.4">
      <c r="AG479" s="15" t="s">
        <v>108</v>
      </c>
      <c r="AH479" s="15" t="s">
        <v>100</v>
      </c>
      <c r="AI479" s="15" t="s">
        <v>100</v>
      </c>
      <c r="AJ479" s="15" t="s">
        <v>101</v>
      </c>
      <c r="AK479" s="15" t="s">
        <v>102</v>
      </c>
    </row>
    <row r="480" spans="33:37" x14ac:dyDescent="0.4">
      <c r="AG480" s="15" t="s">
        <v>108</v>
      </c>
      <c r="AH480" s="15" t="s">
        <v>100</v>
      </c>
      <c r="AI480" s="15" t="s">
        <v>100</v>
      </c>
      <c r="AJ480" s="15" t="s">
        <v>100</v>
      </c>
      <c r="AK480" s="15" t="s">
        <v>102</v>
      </c>
    </row>
    <row r="481" spans="33:37" x14ac:dyDescent="0.4">
      <c r="AG481" s="15" t="s">
        <v>108</v>
      </c>
      <c r="AH481" s="15" t="s">
        <v>100</v>
      </c>
      <c r="AI481" s="15" t="s">
        <v>100</v>
      </c>
      <c r="AJ481" s="15" t="s">
        <v>108</v>
      </c>
      <c r="AK481" s="15" t="s">
        <v>102</v>
      </c>
    </row>
    <row r="482" spans="33:37" x14ac:dyDescent="0.4">
      <c r="AG482" s="15" t="s">
        <v>108</v>
      </c>
      <c r="AH482" s="15" t="s">
        <v>100</v>
      </c>
      <c r="AI482" s="15" t="s">
        <v>100</v>
      </c>
      <c r="AJ482" s="15" t="s">
        <v>105</v>
      </c>
      <c r="AK482" s="15" t="s">
        <v>102</v>
      </c>
    </row>
    <row r="483" spans="33:37" x14ac:dyDescent="0.4">
      <c r="AG483" s="15" t="s">
        <v>108</v>
      </c>
      <c r="AH483" s="15" t="s">
        <v>100</v>
      </c>
      <c r="AI483" s="15" t="s">
        <v>100</v>
      </c>
      <c r="AJ483" s="57" t="s">
        <v>112</v>
      </c>
      <c r="AK483" s="15" t="s">
        <v>102</v>
      </c>
    </row>
    <row r="484" spans="33:37" x14ac:dyDescent="0.4">
      <c r="AG484" s="15" t="s">
        <v>108</v>
      </c>
      <c r="AH484" s="15" t="s">
        <v>100</v>
      </c>
      <c r="AI484" s="15" t="s">
        <v>100</v>
      </c>
      <c r="AJ484" s="15" t="s">
        <v>98</v>
      </c>
      <c r="AK484" s="15" t="s">
        <v>102</v>
      </c>
    </row>
    <row r="485" spans="33:37" x14ac:dyDescent="0.4">
      <c r="AG485" s="15" t="s">
        <v>108</v>
      </c>
      <c r="AH485" s="15" t="s">
        <v>100</v>
      </c>
      <c r="AI485" s="15" t="s">
        <v>108</v>
      </c>
      <c r="AJ485" s="15" t="s">
        <v>101</v>
      </c>
      <c r="AK485" s="15" t="s">
        <v>102</v>
      </c>
    </row>
    <row r="486" spans="33:37" x14ac:dyDescent="0.4">
      <c r="AG486" s="15" t="s">
        <v>108</v>
      </c>
      <c r="AH486" s="15" t="s">
        <v>100</v>
      </c>
      <c r="AI486" s="15" t="s">
        <v>108</v>
      </c>
      <c r="AJ486" s="15" t="s">
        <v>100</v>
      </c>
      <c r="AK486" s="15" t="s">
        <v>102</v>
      </c>
    </row>
    <row r="487" spans="33:37" x14ac:dyDescent="0.4">
      <c r="AG487" s="15" t="s">
        <v>108</v>
      </c>
      <c r="AH487" s="15" t="s">
        <v>100</v>
      </c>
      <c r="AI487" s="15" t="s">
        <v>108</v>
      </c>
      <c r="AJ487" s="15" t="s">
        <v>108</v>
      </c>
      <c r="AK487" s="15" t="s">
        <v>102</v>
      </c>
    </row>
    <row r="488" spans="33:37" x14ac:dyDescent="0.4">
      <c r="AG488" s="15" t="s">
        <v>108</v>
      </c>
      <c r="AH488" s="15" t="s">
        <v>100</v>
      </c>
      <c r="AI488" s="15" t="s">
        <v>108</v>
      </c>
      <c r="AJ488" s="15" t="s">
        <v>105</v>
      </c>
      <c r="AK488" s="15" t="s">
        <v>102</v>
      </c>
    </row>
    <row r="489" spans="33:37" x14ac:dyDescent="0.4">
      <c r="AG489" s="15" t="s">
        <v>108</v>
      </c>
      <c r="AH489" s="15" t="s">
        <v>100</v>
      </c>
      <c r="AI489" s="15" t="s">
        <v>108</v>
      </c>
      <c r="AJ489" s="57" t="s">
        <v>112</v>
      </c>
      <c r="AK489" s="15" t="s">
        <v>102</v>
      </c>
    </row>
    <row r="490" spans="33:37" x14ac:dyDescent="0.4">
      <c r="AG490" s="15" t="s">
        <v>108</v>
      </c>
      <c r="AH490" s="15" t="s">
        <v>100</v>
      </c>
      <c r="AI490" s="15" t="s">
        <v>108</v>
      </c>
      <c r="AJ490" s="15" t="s">
        <v>98</v>
      </c>
      <c r="AK490" s="15" t="s">
        <v>102</v>
      </c>
    </row>
    <row r="491" spans="33:37" x14ac:dyDescent="0.4">
      <c r="AG491" s="15" t="s">
        <v>108</v>
      </c>
      <c r="AH491" s="15" t="s">
        <v>100</v>
      </c>
      <c r="AI491" s="15" t="s">
        <v>105</v>
      </c>
      <c r="AJ491" s="15" t="s">
        <v>101</v>
      </c>
      <c r="AK491" s="15" t="s">
        <v>102</v>
      </c>
    </row>
    <row r="492" spans="33:37" x14ac:dyDescent="0.4">
      <c r="AG492" s="15" t="s">
        <v>108</v>
      </c>
      <c r="AH492" s="15" t="s">
        <v>100</v>
      </c>
      <c r="AI492" s="15" t="s">
        <v>105</v>
      </c>
      <c r="AJ492" s="15" t="s">
        <v>100</v>
      </c>
      <c r="AK492" s="15" t="s">
        <v>102</v>
      </c>
    </row>
    <row r="493" spans="33:37" x14ac:dyDescent="0.4">
      <c r="AG493" s="15" t="s">
        <v>108</v>
      </c>
      <c r="AH493" s="15" t="s">
        <v>100</v>
      </c>
      <c r="AI493" s="15" t="s">
        <v>105</v>
      </c>
      <c r="AJ493" s="15" t="s">
        <v>108</v>
      </c>
      <c r="AK493" s="15" t="s">
        <v>102</v>
      </c>
    </row>
    <row r="494" spans="33:37" x14ac:dyDescent="0.4">
      <c r="AG494" s="15" t="s">
        <v>108</v>
      </c>
      <c r="AH494" s="15" t="s">
        <v>100</v>
      </c>
      <c r="AI494" s="15" t="s">
        <v>105</v>
      </c>
      <c r="AJ494" s="15" t="s">
        <v>105</v>
      </c>
      <c r="AK494" s="15" t="s">
        <v>102</v>
      </c>
    </row>
    <row r="495" spans="33:37" x14ac:dyDescent="0.4">
      <c r="AG495" s="15" t="s">
        <v>108</v>
      </c>
      <c r="AH495" s="15" t="s">
        <v>100</v>
      </c>
      <c r="AI495" s="15" t="s">
        <v>105</v>
      </c>
      <c r="AJ495" s="57" t="s">
        <v>112</v>
      </c>
      <c r="AK495" s="15" t="s">
        <v>102</v>
      </c>
    </row>
    <row r="496" spans="33:37" x14ac:dyDescent="0.4">
      <c r="AG496" s="15" t="s">
        <v>108</v>
      </c>
      <c r="AH496" s="15" t="s">
        <v>100</v>
      </c>
      <c r="AI496" s="15" t="s">
        <v>105</v>
      </c>
      <c r="AJ496" s="15" t="s">
        <v>98</v>
      </c>
      <c r="AK496" s="15" t="s">
        <v>102</v>
      </c>
    </row>
    <row r="497" spans="33:37" x14ac:dyDescent="0.4">
      <c r="AG497" s="15" t="s">
        <v>108</v>
      </c>
      <c r="AH497" s="15" t="s">
        <v>100</v>
      </c>
      <c r="AI497" s="57" t="s">
        <v>112</v>
      </c>
      <c r="AJ497" s="15" t="s">
        <v>101</v>
      </c>
      <c r="AK497" s="15" t="s">
        <v>102</v>
      </c>
    </row>
    <row r="498" spans="33:37" x14ac:dyDescent="0.4">
      <c r="AG498" s="15" t="s">
        <v>108</v>
      </c>
      <c r="AH498" s="15" t="s">
        <v>100</v>
      </c>
      <c r="AI498" s="57" t="s">
        <v>112</v>
      </c>
      <c r="AJ498" s="15" t="s">
        <v>100</v>
      </c>
      <c r="AK498" s="15" t="s">
        <v>102</v>
      </c>
    </row>
    <row r="499" spans="33:37" x14ac:dyDescent="0.4">
      <c r="AG499" s="15" t="s">
        <v>108</v>
      </c>
      <c r="AH499" s="15" t="s">
        <v>100</v>
      </c>
      <c r="AI499" s="57" t="s">
        <v>112</v>
      </c>
      <c r="AJ499" s="15" t="s">
        <v>108</v>
      </c>
      <c r="AK499" s="15" t="s">
        <v>102</v>
      </c>
    </row>
    <row r="500" spans="33:37" x14ac:dyDescent="0.4">
      <c r="AG500" s="15" t="s">
        <v>108</v>
      </c>
      <c r="AH500" s="15" t="s">
        <v>100</v>
      </c>
      <c r="AI500" s="57" t="s">
        <v>112</v>
      </c>
      <c r="AJ500" s="15" t="s">
        <v>105</v>
      </c>
      <c r="AK500" s="15" t="s">
        <v>102</v>
      </c>
    </row>
    <row r="501" spans="33:37" x14ac:dyDescent="0.4">
      <c r="AG501" s="15" t="s">
        <v>108</v>
      </c>
      <c r="AH501" s="15" t="s">
        <v>100</v>
      </c>
      <c r="AI501" s="57" t="s">
        <v>112</v>
      </c>
      <c r="AJ501" s="57" t="s">
        <v>112</v>
      </c>
      <c r="AK501" s="15" t="s">
        <v>102</v>
      </c>
    </row>
    <row r="502" spans="33:37" x14ac:dyDescent="0.4">
      <c r="AG502" s="15" t="s">
        <v>108</v>
      </c>
      <c r="AH502" s="15" t="s">
        <v>100</v>
      </c>
      <c r="AI502" s="57" t="s">
        <v>112</v>
      </c>
      <c r="AJ502" s="15" t="s">
        <v>98</v>
      </c>
      <c r="AK502" s="15" t="s">
        <v>102</v>
      </c>
    </row>
    <row r="503" spans="33:37" x14ac:dyDescent="0.4">
      <c r="AG503" s="15" t="s">
        <v>108</v>
      </c>
      <c r="AH503" s="15" t="s">
        <v>100</v>
      </c>
      <c r="AI503" s="15" t="s">
        <v>98</v>
      </c>
      <c r="AJ503" s="15" t="s">
        <v>101</v>
      </c>
      <c r="AK503" s="15" t="s">
        <v>102</v>
      </c>
    </row>
    <row r="504" spans="33:37" x14ac:dyDescent="0.4">
      <c r="AG504" s="15" t="s">
        <v>108</v>
      </c>
      <c r="AH504" s="15" t="s">
        <v>100</v>
      </c>
      <c r="AI504" s="15" t="s">
        <v>98</v>
      </c>
      <c r="AJ504" s="15" t="s">
        <v>100</v>
      </c>
      <c r="AK504" s="15" t="s">
        <v>102</v>
      </c>
    </row>
    <row r="505" spans="33:37" x14ac:dyDescent="0.4">
      <c r="AG505" s="15" t="s">
        <v>108</v>
      </c>
      <c r="AH505" s="15" t="s">
        <v>100</v>
      </c>
      <c r="AI505" s="15" t="s">
        <v>98</v>
      </c>
      <c r="AJ505" s="15" t="s">
        <v>108</v>
      </c>
      <c r="AK505" s="15" t="s">
        <v>102</v>
      </c>
    </row>
    <row r="506" spans="33:37" x14ac:dyDescent="0.4">
      <c r="AG506" s="15" t="s">
        <v>108</v>
      </c>
      <c r="AH506" s="15" t="s">
        <v>100</v>
      </c>
      <c r="AI506" s="15" t="s">
        <v>98</v>
      </c>
      <c r="AJ506" s="15" t="s">
        <v>105</v>
      </c>
      <c r="AK506" s="15" t="s">
        <v>102</v>
      </c>
    </row>
    <row r="507" spans="33:37" x14ac:dyDescent="0.4">
      <c r="AG507" s="15" t="s">
        <v>108</v>
      </c>
      <c r="AH507" s="15" t="s">
        <v>100</v>
      </c>
      <c r="AI507" s="15" t="s">
        <v>98</v>
      </c>
      <c r="AJ507" s="57" t="s">
        <v>112</v>
      </c>
      <c r="AK507" s="15" t="s">
        <v>102</v>
      </c>
    </row>
    <row r="508" spans="33:37" x14ac:dyDescent="0.4">
      <c r="AG508" s="15" t="s">
        <v>108</v>
      </c>
      <c r="AH508" s="15" t="s">
        <v>100</v>
      </c>
      <c r="AI508" s="15" t="s">
        <v>98</v>
      </c>
      <c r="AJ508" s="15" t="s">
        <v>98</v>
      </c>
      <c r="AK508" s="15" t="s">
        <v>102</v>
      </c>
    </row>
    <row r="509" spans="33:37" x14ac:dyDescent="0.4">
      <c r="AG509" s="15" t="s">
        <v>108</v>
      </c>
      <c r="AH509" s="15" t="s">
        <v>108</v>
      </c>
      <c r="AI509" s="15" t="s">
        <v>101</v>
      </c>
      <c r="AJ509" s="15" t="s">
        <v>101</v>
      </c>
      <c r="AK509" s="15" t="s">
        <v>102</v>
      </c>
    </row>
    <row r="510" spans="33:37" x14ac:dyDescent="0.4">
      <c r="AG510" s="15" t="s">
        <v>108</v>
      </c>
      <c r="AH510" s="15" t="s">
        <v>108</v>
      </c>
      <c r="AI510" s="15" t="s">
        <v>101</v>
      </c>
      <c r="AJ510" s="15" t="s">
        <v>100</v>
      </c>
      <c r="AK510" s="15" t="s">
        <v>102</v>
      </c>
    </row>
    <row r="511" spans="33:37" x14ac:dyDescent="0.4">
      <c r="AG511" s="15" t="s">
        <v>108</v>
      </c>
      <c r="AH511" s="15" t="s">
        <v>108</v>
      </c>
      <c r="AI511" s="15" t="s">
        <v>101</v>
      </c>
      <c r="AJ511" s="15" t="s">
        <v>108</v>
      </c>
      <c r="AK511" s="15" t="s">
        <v>102</v>
      </c>
    </row>
    <row r="512" spans="33:37" x14ac:dyDescent="0.4">
      <c r="AG512" s="15" t="s">
        <v>108</v>
      </c>
      <c r="AH512" s="15" t="s">
        <v>108</v>
      </c>
      <c r="AI512" s="15" t="s">
        <v>101</v>
      </c>
      <c r="AJ512" s="15" t="s">
        <v>105</v>
      </c>
      <c r="AK512" s="15" t="s">
        <v>102</v>
      </c>
    </row>
    <row r="513" spans="33:37" x14ac:dyDescent="0.4">
      <c r="AG513" s="15" t="s">
        <v>108</v>
      </c>
      <c r="AH513" s="15" t="s">
        <v>108</v>
      </c>
      <c r="AI513" s="15" t="s">
        <v>101</v>
      </c>
      <c r="AJ513" s="57" t="s">
        <v>112</v>
      </c>
      <c r="AK513" s="15" t="s">
        <v>102</v>
      </c>
    </row>
    <row r="514" spans="33:37" x14ac:dyDescent="0.4">
      <c r="AG514" s="15" t="s">
        <v>108</v>
      </c>
      <c r="AH514" s="15" t="s">
        <v>108</v>
      </c>
      <c r="AI514" s="15" t="s">
        <v>101</v>
      </c>
      <c r="AJ514" s="15" t="s">
        <v>98</v>
      </c>
      <c r="AK514" s="15" t="s">
        <v>102</v>
      </c>
    </row>
    <row r="515" spans="33:37" x14ac:dyDescent="0.4">
      <c r="AG515" s="15" t="s">
        <v>108</v>
      </c>
      <c r="AH515" s="15" t="s">
        <v>108</v>
      </c>
      <c r="AI515" s="15" t="s">
        <v>100</v>
      </c>
      <c r="AJ515" s="15" t="s">
        <v>101</v>
      </c>
      <c r="AK515" s="15" t="s">
        <v>102</v>
      </c>
    </row>
    <row r="516" spans="33:37" x14ac:dyDescent="0.4">
      <c r="AG516" s="15" t="s">
        <v>108</v>
      </c>
      <c r="AH516" s="15" t="s">
        <v>108</v>
      </c>
      <c r="AI516" s="15" t="s">
        <v>100</v>
      </c>
      <c r="AJ516" s="15" t="s">
        <v>100</v>
      </c>
      <c r="AK516" s="15" t="s">
        <v>102</v>
      </c>
    </row>
    <row r="517" spans="33:37" x14ac:dyDescent="0.4">
      <c r="AG517" s="15" t="s">
        <v>108</v>
      </c>
      <c r="AH517" s="15" t="s">
        <v>108</v>
      </c>
      <c r="AI517" s="15" t="s">
        <v>100</v>
      </c>
      <c r="AJ517" s="15" t="s">
        <v>108</v>
      </c>
      <c r="AK517" s="15" t="s">
        <v>102</v>
      </c>
    </row>
    <row r="518" spans="33:37" x14ac:dyDescent="0.4">
      <c r="AG518" s="15" t="s">
        <v>108</v>
      </c>
      <c r="AH518" s="15" t="s">
        <v>108</v>
      </c>
      <c r="AI518" s="15" t="s">
        <v>100</v>
      </c>
      <c r="AJ518" s="15" t="s">
        <v>105</v>
      </c>
      <c r="AK518" s="15" t="s">
        <v>102</v>
      </c>
    </row>
    <row r="519" spans="33:37" x14ac:dyDescent="0.4">
      <c r="AG519" s="15" t="s">
        <v>108</v>
      </c>
      <c r="AH519" s="15" t="s">
        <v>108</v>
      </c>
      <c r="AI519" s="15" t="s">
        <v>100</v>
      </c>
      <c r="AJ519" s="57" t="s">
        <v>112</v>
      </c>
      <c r="AK519" s="15" t="s">
        <v>102</v>
      </c>
    </row>
    <row r="520" spans="33:37" x14ac:dyDescent="0.4">
      <c r="AG520" s="15" t="s">
        <v>108</v>
      </c>
      <c r="AH520" s="15" t="s">
        <v>108</v>
      </c>
      <c r="AI520" s="15" t="s">
        <v>100</v>
      </c>
      <c r="AJ520" s="15" t="s">
        <v>98</v>
      </c>
      <c r="AK520" s="15" t="s">
        <v>102</v>
      </c>
    </row>
    <row r="521" spans="33:37" x14ac:dyDescent="0.4">
      <c r="AG521" s="15" t="s">
        <v>108</v>
      </c>
      <c r="AH521" s="15" t="s">
        <v>108</v>
      </c>
      <c r="AI521" s="15" t="s">
        <v>108</v>
      </c>
      <c r="AJ521" s="15" t="s">
        <v>101</v>
      </c>
      <c r="AK521" s="15" t="s">
        <v>102</v>
      </c>
    </row>
    <row r="522" spans="33:37" x14ac:dyDescent="0.4">
      <c r="AG522" s="15" t="s">
        <v>108</v>
      </c>
      <c r="AH522" s="15" t="s">
        <v>108</v>
      </c>
      <c r="AI522" s="15" t="s">
        <v>108</v>
      </c>
      <c r="AJ522" s="15" t="s">
        <v>100</v>
      </c>
      <c r="AK522" s="15" t="s">
        <v>102</v>
      </c>
    </row>
    <row r="523" spans="33:37" x14ac:dyDescent="0.4">
      <c r="AG523" s="15" t="s">
        <v>108</v>
      </c>
      <c r="AH523" s="15" t="s">
        <v>108</v>
      </c>
      <c r="AI523" s="15" t="s">
        <v>108</v>
      </c>
      <c r="AJ523" s="15" t="s">
        <v>108</v>
      </c>
      <c r="AK523" s="15" t="s">
        <v>133</v>
      </c>
    </row>
    <row r="524" spans="33:37" x14ac:dyDescent="0.4">
      <c r="AG524" s="15" t="s">
        <v>108</v>
      </c>
      <c r="AH524" s="15" t="s">
        <v>108</v>
      </c>
      <c r="AI524" s="15" t="s">
        <v>108</v>
      </c>
      <c r="AJ524" s="15" t="s">
        <v>105</v>
      </c>
      <c r="AK524" s="15" t="s">
        <v>133</v>
      </c>
    </row>
    <row r="525" spans="33:37" x14ac:dyDescent="0.4">
      <c r="AG525" s="15" t="s">
        <v>108</v>
      </c>
      <c r="AH525" s="15" t="s">
        <v>108</v>
      </c>
      <c r="AI525" s="15" t="s">
        <v>108</v>
      </c>
      <c r="AJ525" s="57" t="s">
        <v>112</v>
      </c>
      <c r="AK525" s="15" t="s">
        <v>133</v>
      </c>
    </row>
    <row r="526" spans="33:37" x14ac:dyDescent="0.4">
      <c r="AG526" s="15" t="s">
        <v>108</v>
      </c>
      <c r="AH526" s="15" t="s">
        <v>108</v>
      </c>
      <c r="AI526" s="15" t="s">
        <v>108</v>
      </c>
      <c r="AJ526" s="15" t="s">
        <v>98</v>
      </c>
      <c r="AK526" s="15" t="s">
        <v>133</v>
      </c>
    </row>
    <row r="527" spans="33:37" x14ac:dyDescent="0.4">
      <c r="AG527" s="15" t="s">
        <v>108</v>
      </c>
      <c r="AH527" s="15" t="s">
        <v>108</v>
      </c>
      <c r="AI527" s="15" t="s">
        <v>105</v>
      </c>
      <c r="AJ527" s="15" t="s">
        <v>101</v>
      </c>
      <c r="AK527" s="15" t="s">
        <v>102</v>
      </c>
    </row>
    <row r="528" spans="33:37" x14ac:dyDescent="0.4">
      <c r="AG528" s="15" t="s">
        <v>108</v>
      </c>
      <c r="AH528" s="15" t="s">
        <v>108</v>
      </c>
      <c r="AI528" s="15" t="s">
        <v>105</v>
      </c>
      <c r="AJ528" s="15" t="s">
        <v>100</v>
      </c>
      <c r="AK528" s="15" t="s">
        <v>102</v>
      </c>
    </row>
    <row r="529" spans="33:37" x14ac:dyDescent="0.4">
      <c r="AG529" s="15" t="s">
        <v>108</v>
      </c>
      <c r="AH529" s="15" t="s">
        <v>108</v>
      </c>
      <c r="AI529" s="15" t="s">
        <v>105</v>
      </c>
      <c r="AJ529" s="15" t="s">
        <v>108</v>
      </c>
      <c r="AK529" s="15" t="s">
        <v>133</v>
      </c>
    </row>
    <row r="530" spans="33:37" x14ac:dyDescent="0.4">
      <c r="AG530" s="15" t="s">
        <v>108</v>
      </c>
      <c r="AH530" s="15" t="s">
        <v>108</v>
      </c>
      <c r="AI530" s="15" t="s">
        <v>105</v>
      </c>
      <c r="AJ530" s="15" t="s">
        <v>105</v>
      </c>
      <c r="AK530" s="15" t="s">
        <v>133</v>
      </c>
    </row>
    <row r="531" spans="33:37" x14ac:dyDescent="0.4">
      <c r="AG531" s="15" t="s">
        <v>108</v>
      </c>
      <c r="AH531" s="15" t="s">
        <v>108</v>
      </c>
      <c r="AI531" s="15" t="s">
        <v>105</v>
      </c>
      <c r="AJ531" s="57" t="s">
        <v>112</v>
      </c>
      <c r="AK531" s="15" t="s">
        <v>133</v>
      </c>
    </row>
    <row r="532" spans="33:37" x14ac:dyDescent="0.4">
      <c r="AG532" s="15" t="s">
        <v>108</v>
      </c>
      <c r="AH532" s="15" t="s">
        <v>108</v>
      </c>
      <c r="AI532" s="15" t="s">
        <v>105</v>
      </c>
      <c r="AJ532" s="15" t="s">
        <v>98</v>
      </c>
      <c r="AK532" s="15" t="s">
        <v>133</v>
      </c>
    </row>
    <row r="533" spans="33:37" x14ac:dyDescent="0.4">
      <c r="AG533" s="15" t="s">
        <v>108</v>
      </c>
      <c r="AH533" s="15" t="s">
        <v>108</v>
      </c>
      <c r="AI533" s="57" t="s">
        <v>112</v>
      </c>
      <c r="AJ533" s="15" t="s">
        <v>101</v>
      </c>
      <c r="AK533" s="15" t="s">
        <v>102</v>
      </c>
    </row>
    <row r="534" spans="33:37" x14ac:dyDescent="0.4">
      <c r="AG534" s="15" t="s">
        <v>108</v>
      </c>
      <c r="AH534" s="15" t="s">
        <v>108</v>
      </c>
      <c r="AI534" s="57" t="s">
        <v>112</v>
      </c>
      <c r="AJ534" s="15" t="s">
        <v>100</v>
      </c>
      <c r="AK534" s="15" t="s">
        <v>102</v>
      </c>
    </row>
    <row r="535" spans="33:37" x14ac:dyDescent="0.4">
      <c r="AG535" s="15" t="s">
        <v>108</v>
      </c>
      <c r="AH535" s="15" t="s">
        <v>108</v>
      </c>
      <c r="AI535" s="57" t="s">
        <v>112</v>
      </c>
      <c r="AJ535" s="15" t="s">
        <v>108</v>
      </c>
      <c r="AK535" s="15" t="s">
        <v>133</v>
      </c>
    </row>
    <row r="536" spans="33:37" x14ac:dyDescent="0.4">
      <c r="AG536" s="15" t="s">
        <v>108</v>
      </c>
      <c r="AH536" s="15" t="s">
        <v>108</v>
      </c>
      <c r="AI536" s="57" t="s">
        <v>112</v>
      </c>
      <c r="AJ536" s="15" t="s">
        <v>105</v>
      </c>
      <c r="AK536" s="15" t="s">
        <v>133</v>
      </c>
    </row>
    <row r="537" spans="33:37" x14ac:dyDescent="0.4">
      <c r="AG537" s="15" t="s">
        <v>108</v>
      </c>
      <c r="AH537" s="15" t="s">
        <v>108</v>
      </c>
      <c r="AI537" s="57" t="s">
        <v>112</v>
      </c>
      <c r="AJ537" s="57" t="s">
        <v>112</v>
      </c>
      <c r="AK537" s="15" t="s">
        <v>133</v>
      </c>
    </row>
    <row r="538" spans="33:37" x14ac:dyDescent="0.4">
      <c r="AG538" s="15" t="s">
        <v>108</v>
      </c>
      <c r="AH538" s="15" t="s">
        <v>108</v>
      </c>
      <c r="AI538" s="57" t="s">
        <v>112</v>
      </c>
      <c r="AJ538" s="15" t="s">
        <v>98</v>
      </c>
      <c r="AK538" s="15" t="s">
        <v>133</v>
      </c>
    </row>
    <row r="539" spans="33:37" x14ac:dyDescent="0.4">
      <c r="AG539" s="15" t="s">
        <v>108</v>
      </c>
      <c r="AH539" s="15" t="s">
        <v>108</v>
      </c>
      <c r="AI539" s="15" t="s">
        <v>98</v>
      </c>
      <c r="AJ539" s="15" t="s">
        <v>101</v>
      </c>
      <c r="AK539" s="15" t="s">
        <v>102</v>
      </c>
    </row>
    <row r="540" spans="33:37" x14ac:dyDescent="0.4">
      <c r="AG540" s="15" t="s">
        <v>108</v>
      </c>
      <c r="AH540" s="15" t="s">
        <v>108</v>
      </c>
      <c r="AI540" s="15" t="s">
        <v>98</v>
      </c>
      <c r="AJ540" s="15" t="s">
        <v>100</v>
      </c>
      <c r="AK540" s="15" t="s">
        <v>102</v>
      </c>
    </row>
    <row r="541" spans="33:37" x14ac:dyDescent="0.4">
      <c r="AG541" s="15" t="s">
        <v>108</v>
      </c>
      <c r="AH541" s="15" t="s">
        <v>108</v>
      </c>
      <c r="AI541" s="15" t="s">
        <v>98</v>
      </c>
      <c r="AJ541" s="15" t="s">
        <v>108</v>
      </c>
      <c r="AK541" s="15" t="s">
        <v>133</v>
      </c>
    </row>
    <row r="542" spans="33:37" x14ac:dyDescent="0.4">
      <c r="AG542" s="15" t="s">
        <v>108</v>
      </c>
      <c r="AH542" s="15" t="s">
        <v>108</v>
      </c>
      <c r="AI542" s="15" t="s">
        <v>98</v>
      </c>
      <c r="AJ542" s="15" t="s">
        <v>105</v>
      </c>
      <c r="AK542" s="15" t="s">
        <v>133</v>
      </c>
    </row>
    <row r="543" spans="33:37" x14ac:dyDescent="0.4">
      <c r="AG543" s="15" t="s">
        <v>108</v>
      </c>
      <c r="AH543" s="15" t="s">
        <v>108</v>
      </c>
      <c r="AI543" s="15" t="s">
        <v>98</v>
      </c>
      <c r="AJ543" s="57" t="s">
        <v>112</v>
      </c>
      <c r="AK543" s="15" t="s">
        <v>133</v>
      </c>
    </row>
    <row r="544" spans="33:37" x14ac:dyDescent="0.4">
      <c r="AG544" s="15" t="s">
        <v>108</v>
      </c>
      <c r="AH544" s="15" t="s">
        <v>108</v>
      </c>
      <c r="AI544" s="15" t="s">
        <v>98</v>
      </c>
      <c r="AJ544" s="15" t="s">
        <v>98</v>
      </c>
      <c r="AK544" s="15" t="s">
        <v>133</v>
      </c>
    </row>
    <row r="545" spans="33:37" x14ac:dyDescent="0.4">
      <c r="AG545" s="15" t="s">
        <v>108</v>
      </c>
      <c r="AH545" s="15" t="s">
        <v>105</v>
      </c>
      <c r="AI545" s="15" t="s">
        <v>101</v>
      </c>
      <c r="AJ545" s="15" t="s">
        <v>101</v>
      </c>
      <c r="AK545" s="15" t="s">
        <v>102</v>
      </c>
    </row>
    <row r="546" spans="33:37" x14ac:dyDescent="0.4">
      <c r="AG546" s="15" t="s">
        <v>108</v>
      </c>
      <c r="AH546" s="15" t="s">
        <v>105</v>
      </c>
      <c r="AI546" s="15" t="s">
        <v>101</v>
      </c>
      <c r="AJ546" s="15" t="s">
        <v>100</v>
      </c>
      <c r="AK546" s="15" t="s">
        <v>102</v>
      </c>
    </row>
    <row r="547" spans="33:37" x14ac:dyDescent="0.4">
      <c r="AG547" s="15" t="s">
        <v>108</v>
      </c>
      <c r="AH547" s="15" t="s">
        <v>105</v>
      </c>
      <c r="AI547" s="15" t="s">
        <v>101</v>
      </c>
      <c r="AJ547" s="15" t="s">
        <v>108</v>
      </c>
      <c r="AK547" s="15" t="s">
        <v>102</v>
      </c>
    </row>
    <row r="548" spans="33:37" x14ac:dyDescent="0.4">
      <c r="AG548" s="15" t="s">
        <v>108</v>
      </c>
      <c r="AH548" s="15" t="s">
        <v>105</v>
      </c>
      <c r="AI548" s="15" t="s">
        <v>101</v>
      </c>
      <c r="AJ548" s="15" t="s">
        <v>105</v>
      </c>
      <c r="AK548" s="15" t="s">
        <v>102</v>
      </c>
    </row>
    <row r="549" spans="33:37" x14ac:dyDescent="0.4">
      <c r="AG549" s="15" t="s">
        <v>108</v>
      </c>
      <c r="AH549" s="15" t="s">
        <v>105</v>
      </c>
      <c r="AI549" s="15" t="s">
        <v>101</v>
      </c>
      <c r="AJ549" s="57" t="s">
        <v>112</v>
      </c>
      <c r="AK549" s="15" t="s">
        <v>102</v>
      </c>
    </row>
    <row r="550" spans="33:37" x14ac:dyDescent="0.4">
      <c r="AG550" s="15" t="s">
        <v>108</v>
      </c>
      <c r="AH550" s="15" t="s">
        <v>105</v>
      </c>
      <c r="AI550" s="15" t="s">
        <v>101</v>
      </c>
      <c r="AJ550" s="15" t="s">
        <v>98</v>
      </c>
      <c r="AK550" s="15" t="s">
        <v>102</v>
      </c>
    </row>
    <row r="551" spans="33:37" x14ac:dyDescent="0.4">
      <c r="AG551" s="15" t="s">
        <v>108</v>
      </c>
      <c r="AH551" s="15" t="s">
        <v>105</v>
      </c>
      <c r="AI551" s="15" t="s">
        <v>100</v>
      </c>
      <c r="AJ551" s="15" t="s">
        <v>101</v>
      </c>
      <c r="AK551" s="15" t="s">
        <v>102</v>
      </c>
    </row>
    <row r="552" spans="33:37" x14ac:dyDescent="0.4">
      <c r="AG552" s="15" t="s">
        <v>108</v>
      </c>
      <c r="AH552" s="15" t="s">
        <v>105</v>
      </c>
      <c r="AI552" s="15" t="s">
        <v>100</v>
      </c>
      <c r="AJ552" s="15" t="s">
        <v>100</v>
      </c>
      <c r="AK552" s="15" t="s">
        <v>102</v>
      </c>
    </row>
    <row r="553" spans="33:37" x14ac:dyDescent="0.4">
      <c r="AG553" s="15" t="s">
        <v>108</v>
      </c>
      <c r="AH553" s="15" t="s">
        <v>105</v>
      </c>
      <c r="AI553" s="15" t="s">
        <v>100</v>
      </c>
      <c r="AJ553" s="15" t="s">
        <v>108</v>
      </c>
      <c r="AK553" s="15" t="s">
        <v>102</v>
      </c>
    </row>
    <row r="554" spans="33:37" x14ac:dyDescent="0.4">
      <c r="AG554" s="15" t="s">
        <v>108</v>
      </c>
      <c r="AH554" s="15" t="s">
        <v>105</v>
      </c>
      <c r="AI554" s="15" t="s">
        <v>100</v>
      </c>
      <c r="AJ554" s="15" t="s">
        <v>105</v>
      </c>
      <c r="AK554" s="15" t="s">
        <v>102</v>
      </c>
    </row>
    <row r="555" spans="33:37" x14ac:dyDescent="0.4">
      <c r="AG555" s="15" t="s">
        <v>108</v>
      </c>
      <c r="AH555" s="15" t="s">
        <v>105</v>
      </c>
      <c r="AI555" s="15" t="s">
        <v>100</v>
      </c>
      <c r="AJ555" s="57" t="s">
        <v>112</v>
      </c>
      <c r="AK555" s="15" t="s">
        <v>102</v>
      </c>
    </row>
    <row r="556" spans="33:37" x14ac:dyDescent="0.4">
      <c r="AG556" s="15" t="s">
        <v>108</v>
      </c>
      <c r="AH556" s="15" t="s">
        <v>105</v>
      </c>
      <c r="AI556" s="15" t="s">
        <v>100</v>
      </c>
      <c r="AJ556" s="15" t="s">
        <v>98</v>
      </c>
      <c r="AK556" s="15" t="s">
        <v>102</v>
      </c>
    </row>
    <row r="557" spans="33:37" x14ac:dyDescent="0.4">
      <c r="AG557" s="15" t="s">
        <v>108</v>
      </c>
      <c r="AH557" s="15" t="s">
        <v>105</v>
      </c>
      <c r="AI557" s="15" t="s">
        <v>108</v>
      </c>
      <c r="AJ557" s="15" t="s">
        <v>101</v>
      </c>
      <c r="AK557" s="15" t="s">
        <v>102</v>
      </c>
    </row>
    <row r="558" spans="33:37" x14ac:dyDescent="0.4">
      <c r="AG558" s="15" t="s">
        <v>108</v>
      </c>
      <c r="AH558" s="15" t="s">
        <v>105</v>
      </c>
      <c r="AI558" s="15" t="s">
        <v>108</v>
      </c>
      <c r="AJ558" s="15" t="s">
        <v>100</v>
      </c>
      <c r="AK558" s="15" t="s">
        <v>102</v>
      </c>
    </row>
    <row r="559" spans="33:37" x14ac:dyDescent="0.4">
      <c r="AG559" s="15" t="s">
        <v>108</v>
      </c>
      <c r="AH559" s="15" t="s">
        <v>105</v>
      </c>
      <c r="AI559" s="15" t="s">
        <v>108</v>
      </c>
      <c r="AJ559" s="15" t="s">
        <v>108</v>
      </c>
      <c r="AK559" s="15" t="s">
        <v>133</v>
      </c>
    </row>
    <row r="560" spans="33:37" x14ac:dyDescent="0.4">
      <c r="AG560" s="15" t="s">
        <v>108</v>
      </c>
      <c r="AH560" s="15" t="s">
        <v>105</v>
      </c>
      <c r="AI560" s="15" t="s">
        <v>108</v>
      </c>
      <c r="AJ560" s="15" t="s">
        <v>105</v>
      </c>
      <c r="AK560" s="15" t="s">
        <v>133</v>
      </c>
    </row>
    <row r="561" spans="33:37" x14ac:dyDescent="0.4">
      <c r="AG561" s="15" t="s">
        <v>108</v>
      </c>
      <c r="AH561" s="15" t="s">
        <v>105</v>
      </c>
      <c r="AI561" s="15" t="s">
        <v>108</v>
      </c>
      <c r="AJ561" s="57" t="s">
        <v>112</v>
      </c>
      <c r="AK561" s="15" t="s">
        <v>133</v>
      </c>
    </row>
    <row r="562" spans="33:37" x14ac:dyDescent="0.4">
      <c r="AG562" s="15" t="s">
        <v>108</v>
      </c>
      <c r="AH562" s="15" t="s">
        <v>105</v>
      </c>
      <c r="AI562" s="15" t="s">
        <v>108</v>
      </c>
      <c r="AJ562" s="15" t="s">
        <v>98</v>
      </c>
      <c r="AK562" s="15" t="s">
        <v>133</v>
      </c>
    </row>
    <row r="563" spans="33:37" x14ac:dyDescent="0.4">
      <c r="AG563" s="15" t="s">
        <v>108</v>
      </c>
      <c r="AH563" s="15" t="s">
        <v>105</v>
      </c>
      <c r="AI563" s="15" t="s">
        <v>105</v>
      </c>
      <c r="AJ563" s="15" t="s">
        <v>101</v>
      </c>
      <c r="AK563" s="15" t="s">
        <v>102</v>
      </c>
    </row>
    <row r="564" spans="33:37" x14ac:dyDescent="0.4">
      <c r="AG564" s="15" t="s">
        <v>108</v>
      </c>
      <c r="AH564" s="15" t="s">
        <v>105</v>
      </c>
      <c r="AI564" s="15" t="s">
        <v>105</v>
      </c>
      <c r="AJ564" s="15" t="s">
        <v>100</v>
      </c>
      <c r="AK564" s="15" t="s">
        <v>102</v>
      </c>
    </row>
    <row r="565" spans="33:37" x14ac:dyDescent="0.4">
      <c r="AG565" s="15" t="s">
        <v>108</v>
      </c>
      <c r="AH565" s="15" t="s">
        <v>105</v>
      </c>
      <c r="AI565" s="15" t="s">
        <v>105</v>
      </c>
      <c r="AJ565" s="15" t="s">
        <v>108</v>
      </c>
      <c r="AK565" s="15" t="s">
        <v>133</v>
      </c>
    </row>
    <row r="566" spans="33:37" x14ac:dyDescent="0.4">
      <c r="AG566" s="15" t="s">
        <v>108</v>
      </c>
      <c r="AH566" s="15" t="s">
        <v>105</v>
      </c>
      <c r="AI566" s="15" t="s">
        <v>105</v>
      </c>
      <c r="AJ566" s="15" t="s">
        <v>105</v>
      </c>
      <c r="AK566" s="15" t="s">
        <v>133</v>
      </c>
    </row>
    <row r="567" spans="33:37" x14ac:dyDescent="0.4">
      <c r="AG567" s="15" t="s">
        <v>108</v>
      </c>
      <c r="AH567" s="15" t="s">
        <v>105</v>
      </c>
      <c r="AI567" s="15" t="s">
        <v>105</v>
      </c>
      <c r="AJ567" s="57" t="s">
        <v>112</v>
      </c>
      <c r="AK567" s="15" t="s">
        <v>133</v>
      </c>
    </row>
    <row r="568" spans="33:37" x14ac:dyDescent="0.4">
      <c r="AG568" s="15" t="s">
        <v>108</v>
      </c>
      <c r="AH568" s="15" t="s">
        <v>105</v>
      </c>
      <c r="AI568" s="15" t="s">
        <v>105</v>
      </c>
      <c r="AJ568" s="15" t="s">
        <v>98</v>
      </c>
      <c r="AK568" s="15" t="s">
        <v>133</v>
      </c>
    </row>
    <row r="569" spans="33:37" x14ac:dyDescent="0.4">
      <c r="AG569" s="15" t="s">
        <v>108</v>
      </c>
      <c r="AH569" s="15" t="s">
        <v>105</v>
      </c>
      <c r="AI569" s="57" t="s">
        <v>112</v>
      </c>
      <c r="AJ569" s="15" t="s">
        <v>101</v>
      </c>
      <c r="AK569" s="15" t="s">
        <v>102</v>
      </c>
    </row>
    <row r="570" spans="33:37" x14ac:dyDescent="0.4">
      <c r="AG570" s="15" t="s">
        <v>108</v>
      </c>
      <c r="AH570" s="15" t="s">
        <v>105</v>
      </c>
      <c r="AI570" s="57" t="s">
        <v>112</v>
      </c>
      <c r="AJ570" s="15" t="s">
        <v>100</v>
      </c>
      <c r="AK570" s="15" t="s">
        <v>102</v>
      </c>
    </row>
    <row r="571" spans="33:37" x14ac:dyDescent="0.4">
      <c r="AG571" s="15" t="s">
        <v>108</v>
      </c>
      <c r="AH571" s="15" t="s">
        <v>105</v>
      </c>
      <c r="AI571" s="57" t="s">
        <v>112</v>
      </c>
      <c r="AJ571" s="15" t="s">
        <v>108</v>
      </c>
      <c r="AK571" s="15" t="s">
        <v>133</v>
      </c>
    </row>
    <row r="572" spans="33:37" x14ac:dyDescent="0.4">
      <c r="AG572" s="15" t="s">
        <v>108</v>
      </c>
      <c r="AH572" s="15" t="s">
        <v>105</v>
      </c>
      <c r="AI572" s="57" t="s">
        <v>112</v>
      </c>
      <c r="AJ572" s="15" t="s">
        <v>105</v>
      </c>
      <c r="AK572" s="15" t="s">
        <v>133</v>
      </c>
    </row>
    <row r="573" spans="33:37" x14ac:dyDescent="0.4">
      <c r="AG573" s="15" t="s">
        <v>108</v>
      </c>
      <c r="AH573" s="15" t="s">
        <v>105</v>
      </c>
      <c r="AI573" s="57" t="s">
        <v>112</v>
      </c>
      <c r="AJ573" s="57" t="s">
        <v>112</v>
      </c>
      <c r="AK573" s="15" t="s">
        <v>133</v>
      </c>
    </row>
    <row r="574" spans="33:37" x14ac:dyDescent="0.4">
      <c r="AG574" s="15" t="s">
        <v>108</v>
      </c>
      <c r="AH574" s="15" t="s">
        <v>105</v>
      </c>
      <c r="AI574" s="57" t="s">
        <v>112</v>
      </c>
      <c r="AJ574" s="15" t="s">
        <v>98</v>
      </c>
      <c r="AK574" s="15" t="s">
        <v>133</v>
      </c>
    </row>
    <row r="575" spans="33:37" x14ac:dyDescent="0.4">
      <c r="AG575" s="15" t="s">
        <v>108</v>
      </c>
      <c r="AH575" s="15" t="s">
        <v>105</v>
      </c>
      <c r="AI575" s="15" t="s">
        <v>98</v>
      </c>
      <c r="AJ575" s="15" t="s">
        <v>101</v>
      </c>
      <c r="AK575" s="15" t="s">
        <v>102</v>
      </c>
    </row>
    <row r="576" spans="33:37" x14ac:dyDescent="0.4">
      <c r="AG576" s="15" t="s">
        <v>108</v>
      </c>
      <c r="AH576" s="15" t="s">
        <v>105</v>
      </c>
      <c r="AI576" s="15" t="s">
        <v>98</v>
      </c>
      <c r="AJ576" s="15" t="s">
        <v>100</v>
      </c>
      <c r="AK576" s="15" t="s">
        <v>102</v>
      </c>
    </row>
    <row r="577" spans="33:37" x14ac:dyDescent="0.4">
      <c r="AG577" s="15" t="s">
        <v>108</v>
      </c>
      <c r="AH577" s="15" t="s">
        <v>105</v>
      </c>
      <c r="AI577" s="15" t="s">
        <v>98</v>
      </c>
      <c r="AJ577" s="15" t="s">
        <v>108</v>
      </c>
      <c r="AK577" s="15" t="s">
        <v>133</v>
      </c>
    </row>
    <row r="578" spans="33:37" x14ac:dyDescent="0.4">
      <c r="AG578" s="15" t="s">
        <v>108</v>
      </c>
      <c r="AH578" s="15" t="s">
        <v>105</v>
      </c>
      <c r="AI578" s="15" t="s">
        <v>98</v>
      </c>
      <c r="AJ578" s="15" t="s">
        <v>105</v>
      </c>
      <c r="AK578" s="15" t="s">
        <v>133</v>
      </c>
    </row>
    <row r="579" spans="33:37" x14ac:dyDescent="0.4">
      <c r="AG579" s="15" t="s">
        <v>108</v>
      </c>
      <c r="AH579" s="15" t="s">
        <v>105</v>
      </c>
      <c r="AI579" s="15" t="s">
        <v>98</v>
      </c>
      <c r="AJ579" s="57" t="s">
        <v>112</v>
      </c>
      <c r="AK579" s="15" t="s">
        <v>133</v>
      </c>
    </row>
    <row r="580" spans="33:37" x14ac:dyDescent="0.4">
      <c r="AG580" s="15" t="s">
        <v>108</v>
      </c>
      <c r="AH580" s="15" t="s">
        <v>105</v>
      </c>
      <c r="AI580" s="15" t="s">
        <v>98</v>
      </c>
      <c r="AJ580" s="15" t="s">
        <v>98</v>
      </c>
      <c r="AK580" s="15" t="s">
        <v>133</v>
      </c>
    </row>
    <row r="581" spans="33:37" x14ac:dyDescent="0.4">
      <c r="AG581" s="15" t="s">
        <v>108</v>
      </c>
      <c r="AH581" s="57" t="s">
        <v>112</v>
      </c>
      <c r="AI581" s="15" t="s">
        <v>101</v>
      </c>
      <c r="AJ581" s="15" t="s">
        <v>101</v>
      </c>
      <c r="AK581" s="15" t="s">
        <v>102</v>
      </c>
    </row>
    <row r="582" spans="33:37" x14ac:dyDescent="0.4">
      <c r="AG582" s="15" t="s">
        <v>108</v>
      </c>
      <c r="AH582" s="57" t="s">
        <v>112</v>
      </c>
      <c r="AI582" s="15" t="s">
        <v>101</v>
      </c>
      <c r="AJ582" s="15" t="s">
        <v>100</v>
      </c>
      <c r="AK582" s="15" t="s">
        <v>102</v>
      </c>
    </row>
    <row r="583" spans="33:37" x14ac:dyDescent="0.4">
      <c r="AG583" s="15" t="s">
        <v>108</v>
      </c>
      <c r="AH583" s="57" t="s">
        <v>112</v>
      </c>
      <c r="AI583" s="15" t="s">
        <v>101</v>
      </c>
      <c r="AJ583" s="15" t="s">
        <v>108</v>
      </c>
      <c r="AK583" s="15" t="s">
        <v>102</v>
      </c>
    </row>
    <row r="584" spans="33:37" x14ac:dyDescent="0.4">
      <c r="AG584" s="15" t="s">
        <v>108</v>
      </c>
      <c r="AH584" s="57" t="s">
        <v>112</v>
      </c>
      <c r="AI584" s="15" t="s">
        <v>101</v>
      </c>
      <c r="AJ584" s="15" t="s">
        <v>105</v>
      </c>
      <c r="AK584" s="15" t="s">
        <v>102</v>
      </c>
    </row>
    <row r="585" spans="33:37" x14ac:dyDescent="0.4">
      <c r="AG585" s="15" t="s">
        <v>108</v>
      </c>
      <c r="AH585" s="57" t="s">
        <v>112</v>
      </c>
      <c r="AI585" s="15" t="s">
        <v>101</v>
      </c>
      <c r="AJ585" s="57" t="s">
        <v>112</v>
      </c>
      <c r="AK585" s="15" t="s">
        <v>102</v>
      </c>
    </row>
    <row r="586" spans="33:37" x14ac:dyDescent="0.4">
      <c r="AG586" s="15" t="s">
        <v>108</v>
      </c>
      <c r="AH586" s="57" t="s">
        <v>112</v>
      </c>
      <c r="AI586" s="15" t="s">
        <v>101</v>
      </c>
      <c r="AJ586" s="15" t="s">
        <v>98</v>
      </c>
      <c r="AK586" s="15" t="s">
        <v>102</v>
      </c>
    </row>
    <row r="587" spans="33:37" x14ac:dyDescent="0.4">
      <c r="AG587" s="15" t="s">
        <v>108</v>
      </c>
      <c r="AH587" s="57" t="s">
        <v>112</v>
      </c>
      <c r="AI587" s="15" t="s">
        <v>100</v>
      </c>
      <c r="AJ587" s="15" t="s">
        <v>101</v>
      </c>
      <c r="AK587" s="15" t="s">
        <v>102</v>
      </c>
    </row>
    <row r="588" spans="33:37" x14ac:dyDescent="0.4">
      <c r="AG588" s="15" t="s">
        <v>108</v>
      </c>
      <c r="AH588" s="57" t="s">
        <v>112</v>
      </c>
      <c r="AI588" s="15" t="s">
        <v>100</v>
      </c>
      <c r="AJ588" s="15" t="s">
        <v>100</v>
      </c>
      <c r="AK588" s="15" t="s">
        <v>102</v>
      </c>
    </row>
    <row r="589" spans="33:37" x14ac:dyDescent="0.4">
      <c r="AG589" s="15" t="s">
        <v>108</v>
      </c>
      <c r="AH589" s="57" t="s">
        <v>112</v>
      </c>
      <c r="AI589" s="15" t="s">
        <v>100</v>
      </c>
      <c r="AJ589" s="15" t="s">
        <v>108</v>
      </c>
      <c r="AK589" s="15" t="s">
        <v>102</v>
      </c>
    </row>
    <row r="590" spans="33:37" x14ac:dyDescent="0.4">
      <c r="AG590" s="15" t="s">
        <v>108</v>
      </c>
      <c r="AH590" s="57" t="s">
        <v>112</v>
      </c>
      <c r="AI590" s="15" t="s">
        <v>100</v>
      </c>
      <c r="AJ590" s="15" t="s">
        <v>105</v>
      </c>
      <c r="AK590" s="15" t="s">
        <v>102</v>
      </c>
    </row>
    <row r="591" spans="33:37" x14ac:dyDescent="0.4">
      <c r="AG591" s="15" t="s">
        <v>108</v>
      </c>
      <c r="AH591" s="57" t="s">
        <v>112</v>
      </c>
      <c r="AI591" s="15" t="s">
        <v>100</v>
      </c>
      <c r="AJ591" s="57" t="s">
        <v>112</v>
      </c>
      <c r="AK591" s="15" t="s">
        <v>102</v>
      </c>
    </row>
    <row r="592" spans="33:37" x14ac:dyDescent="0.4">
      <c r="AG592" s="15" t="s">
        <v>108</v>
      </c>
      <c r="AH592" s="57" t="s">
        <v>112</v>
      </c>
      <c r="AI592" s="15" t="s">
        <v>100</v>
      </c>
      <c r="AJ592" s="15" t="s">
        <v>98</v>
      </c>
      <c r="AK592" s="15" t="s">
        <v>102</v>
      </c>
    </row>
    <row r="593" spans="33:37" x14ac:dyDescent="0.4">
      <c r="AG593" s="15" t="s">
        <v>108</v>
      </c>
      <c r="AH593" s="57" t="s">
        <v>112</v>
      </c>
      <c r="AI593" s="15" t="s">
        <v>108</v>
      </c>
      <c r="AJ593" s="15" t="s">
        <v>101</v>
      </c>
      <c r="AK593" s="15" t="s">
        <v>102</v>
      </c>
    </row>
    <row r="594" spans="33:37" x14ac:dyDescent="0.4">
      <c r="AG594" s="15" t="s">
        <v>108</v>
      </c>
      <c r="AH594" s="57" t="s">
        <v>112</v>
      </c>
      <c r="AI594" s="15" t="s">
        <v>108</v>
      </c>
      <c r="AJ594" s="15" t="s">
        <v>100</v>
      </c>
      <c r="AK594" s="15" t="s">
        <v>102</v>
      </c>
    </row>
    <row r="595" spans="33:37" x14ac:dyDescent="0.4">
      <c r="AG595" s="15" t="s">
        <v>108</v>
      </c>
      <c r="AH595" s="57" t="s">
        <v>112</v>
      </c>
      <c r="AI595" s="15" t="s">
        <v>108</v>
      </c>
      <c r="AJ595" s="15" t="s">
        <v>108</v>
      </c>
      <c r="AK595" s="15" t="s">
        <v>133</v>
      </c>
    </row>
    <row r="596" spans="33:37" x14ac:dyDescent="0.4">
      <c r="AG596" s="15" t="s">
        <v>108</v>
      </c>
      <c r="AH596" s="57" t="s">
        <v>112</v>
      </c>
      <c r="AI596" s="15" t="s">
        <v>108</v>
      </c>
      <c r="AJ596" s="15" t="s">
        <v>105</v>
      </c>
      <c r="AK596" s="15" t="s">
        <v>133</v>
      </c>
    </row>
    <row r="597" spans="33:37" x14ac:dyDescent="0.4">
      <c r="AG597" s="15" t="s">
        <v>108</v>
      </c>
      <c r="AH597" s="57" t="s">
        <v>112</v>
      </c>
      <c r="AI597" s="15" t="s">
        <v>108</v>
      </c>
      <c r="AJ597" s="57" t="s">
        <v>112</v>
      </c>
      <c r="AK597" s="15" t="s">
        <v>133</v>
      </c>
    </row>
    <row r="598" spans="33:37" x14ac:dyDescent="0.4">
      <c r="AG598" s="15" t="s">
        <v>108</v>
      </c>
      <c r="AH598" s="57" t="s">
        <v>112</v>
      </c>
      <c r="AI598" s="15" t="s">
        <v>108</v>
      </c>
      <c r="AJ598" s="15" t="s">
        <v>98</v>
      </c>
      <c r="AK598" s="15" t="s">
        <v>133</v>
      </c>
    </row>
    <row r="599" spans="33:37" x14ac:dyDescent="0.4">
      <c r="AG599" s="15" t="s">
        <v>108</v>
      </c>
      <c r="AH599" s="57" t="s">
        <v>112</v>
      </c>
      <c r="AI599" s="15" t="s">
        <v>105</v>
      </c>
      <c r="AJ599" s="15" t="s">
        <v>101</v>
      </c>
      <c r="AK599" s="15" t="s">
        <v>102</v>
      </c>
    </row>
    <row r="600" spans="33:37" x14ac:dyDescent="0.4">
      <c r="AG600" s="15" t="s">
        <v>108</v>
      </c>
      <c r="AH600" s="57" t="s">
        <v>112</v>
      </c>
      <c r="AI600" s="15" t="s">
        <v>105</v>
      </c>
      <c r="AJ600" s="15" t="s">
        <v>100</v>
      </c>
      <c r="AK600" s="15" t="s">
        <v>102</v>
      </c>
    </row>
    <row r="601" spans="33:37" x14ac:dyDescent="0.4">
      <c r="AG601" s="15" t="s">
        <v>108</v>
      </c>
      <c r="AH601" s="57" t="s">
        <v>112</v>
      </c>
      <c r="AI601" s="15" t="s">
        <v>105</v>
      </c>
      <c r="AJ601" s="15" t="s">
        <v>108</v>
      </c>
      <c r="AK601" s="15" t="s">
        <v>133</v>
      </c>
    </row>
    <row r="602" spans="33:37" x14ac:dyDescent="0.4">
      <c r="AG602" s="15" t="s">
        <v>108</v>
      </c>
      <c r="AH602" s="57" t="s">
        <v>112</v>
      </c>
      <c r="AI602" s="15" t="s">
        <v>105</v>
      </c>
      <c r="AJ602" s="15" t="s">
        <v>105</v>
      </c>
      <c r="AK602" s="15" t="s">
        <v>133</v>
      </c>
    </row>
    <row r="603" spans="33:37" x14ac:dyDescent="0.4">
      <c r="AG603" s="15" t="s">
        <v>108</v>
      </c>
      <c r="AH603" s="57" t="s">
        <v>112</v>
      </c>
      <c r="AI603" s="15" t="s">
        <v>105</v>
      </c>
      <c r="AJ603" s="57" t="s">
        <v>112</v>
      </c>
      <c r="AK603" s="15" t="s">
        <v>133</v>
      </c>
    </row>
    <row r="604" spans="33:37" x14ac:dyDescent="0.4">
      <c r="AG604" s="15" t="s">
        <v>108</v>
      </c>
      <c r="AH604" s="57" t="s">
        <v>112</v>
      </c>
      <c r="AI604" s="15" t="s">
        <v>105</v>
      </c>
      <c r="AJ604" s="15" t="s">
        <v>98</v>
      </c>
      <c r="AK604" s="15" t="s">
        <v>133</v>
      </c>
    </row>
    <row r="605" spans="33:37" x14ac:dyDescent="0.4">
      <c r="AG605" s="15" t="s">
        <v>108</v>
      </c>
      <c r="AH605" s="57" t="s">
        <v>112</v>
      </c>
      <c r="AI605" s="57" t="s">
        <v>112</v>
      </c>
      <c r="AJ605" s="15" t="s">
        <v>101</v>
      </c>
      <c r="AK605" s="15" t="s">
        <v>102</v>
      </c>
    </row>
    <row r="606" spans="33:37" x14ac:dyDescent="0.4">
      <c r="AG606" s="15" t="s">
        <v>108</v>
      </c>
      <c r="AH606" s="57" t="s">
        <v>112</v>
      </c>
      <c r="AI606" s="57" t="s">
        <v>112</v>
      </c>
      <c r="AJ606" s="15" t="s">
        <v>100</v>
      </c>
      <c r="AK606" s="15" t="s">
        <v>102</v>
      </c>
    </row>
    <row r="607" spans="33:37" x14ac:dyDescent="0.4">
      <c r="AG607" s="15" t="s">
        <v>108</v>
      </c>
      <c r="AH607" s="57" t="s">
        <v>112</v>
      </c>
      <c r="AI607" s="57" t="s">
        <v>112</v>
      </c>
      <c r="AJ607" s="15" t="s">
        <v>108</v>
      </c>
      <c r="AK607" s="15" t="s">
        <v>133</v>
      </c>
    </row>
    <row r="608" spans="33:37" x14ac:dyDescent="0.4">
      <c r="AG608" s="15" t="s">
        <v>108</v>
      </c>
      <c r="AH608" s="57" t="s">
        <v>112</v>
      </c>
      <c r="AI608" s="57" t="s">
        <v>112</v>
      </c>
      <c r="AJ608" s="15" t="s">
        <v>105</v>
      </c>
      <c r="AK608" s="15" t="s">
        <v>133</v>
      </c>
    </row>
    <row r="609" spans="33:37" x14ac:dyDescent="0.4">
      <c r="AG609" s="15" t="s">
        <v>108</v>
      </c>
      <c r="AH609" s="57" t="s">
        <v>112</v>
      </c>
      <c r="AI609" s="57" t="s">
        <v>112</v>
      </c>
      <c r="AJ609" s="57" t="s">
        <v>112</v>
      </c>
      <c r="AK609" s="15" t="s">
        <v>133</v>
      </c>
    </row>
    <row r="610" spans="33:37" x14ac:dyDescent="0.4">
      <c r="AG610" s="15" t="s">
        <v>108</v>
      </c>
      <c r="AH610" s="57" t="s">
        <v>112</v>
      </c>
      <c r="AI610" s="57" t="s">
        <v>112</v>
      </c>
      <c r="AJ610" s="15" t="s">
        <v>98</v>
      </c>
      <c r="AK610" s="15" t="s">
        <v>133</v>
      </c>
    </row>
    <row r="611" spans="33:37" x14ac:dyDescent="0.4">
      <c r="AG611" s="15" t="s">
        <v>108</v>
      </c>
      <c r="AH611" s="57" t="s">
        <v>112</v>
      </c>
      <c r="AI611" s="15" t="s">
        <v>98</v>
      </c>
      <c r="AJ611" s="15" t="s">
        <v>101</v>
      </c>
      <c r="AK611" s="15" t="s">
        <v>102</v>
      </c>
    </row>
    <row r="612" spans="33:37" x14ac:dyDescent="0.4">
      <c r="AG612" s="15" t="s">
        <v>108</v>
      </c>
      <c r="AH612" s="57" t="s">
        <v>112</v>
      </c>
      <c r="AI612" s="15" t="s">
        <v>98</v>
      </c>
      <c r="AJ612" s="15" t="s">
        <v>100</v>
      </c>
      <c r="AK612" s="15" t="s">
        <v>102</v>
      </c>
    </row>
    <row r="613" spans="33:37" x14ac:dyDescent="0.4">
      <c r="AG613" s="15" t="s">
        <v>108</v>
      </c>
      <c r="AH613" s="57" t="s">
        <v>112</v>
      </c>
      <c r="AI613" s="15" t="s">
        <v>98</v>
      </c>
      <c r="AJ613" s="15" t="s">
        <v>108</v>
      </c>
      <c r="AK613" s="15" t="s">
        <v>133</v>
      </c>
    </row>
    <row r="614" spans="33:37" x14ac:dyDescent="0.4">
      <c r="AG614" s="15" t="s">
        <v>108</v>
      </c>
      <c r="AH614" s="57" t="s">
        <v>112</v>
      </c>
      <c r="AI614" s="15" t="s">
        <v>98</v>
      </c>
      <c r="AJ614" s="15" t="s">
        <v>105</v>
      </c>
      <c r="AK614" s="15" t="s">
        <v>133</v>
      </c>
    </row>
    <row r="615" spans="33:37" x14ac:dyDescent="0.4">
      <c r="AG615" s="15" t="s">
        <v>108</v>
      </c>
      <c r="AH615" s="57" t="s">
        <v>112</v>
      </c>
      <c r="AI615" s="15" t="s">
        <v>98</v>
      </c>
      <c r="AJ615" s="57" t="s">
        <v>112</v>
      </c>
      <c r="AK615" s="15" t="s">
        <v>133</v>
      </c>
    </row>
    <row r="616" spans="33:37" x14ac:dyDescent="0.4">
      <c r="AG616" s="15" t="s">
        <v>108</v>
      </c>
      <c r="AH616" s="57" t="s">
        <v>112</v>
      </c>
      <c r="AI616" s="15" t="s">
        <v>98</v>
      </c>
      <c r="AJ616" s="15" t="s">
        <v>98</v>
      </c>
      <c r="AK616" s="15" t="s">
        <v>133</v>
      </c>
    </row>
    <row r="617" spans="33:37" x14ac:dyDescent="0.4">
      <c r="AG617" s="15" t="s">
        <v>108</v>
      </c>
      <c r="AH617" s="15" t="s">
        <v>98</v>
      </c>
      <c r="AI617" s="15" t="s">
        <v>101</v>
      </c>
      <c r="AJ617" s="15" t="s">
        <v>101</v>
      </c>
      <c r="AK617" s="15" t="s">
        <v>102</v>
      </c>
    </row>
    <row r="618" spans="33:37" x14ac:dyDescent="0.4">
      <c r="AG618" s="15" t="s">
        <v>108</v>
      </c>
      <c r="AH618" s="15" t="s">
        <v>98</v>
      </c>
      <c r="AI618" s="15" t="s">
        <v>101</v>
      </c>
      <c r="AJ618" s="15" t="s">
        <v>100</v>
      </c>
      <c r="AK618" s="15" t="s">
        <v>102</v>
      </c>
    </row>
    <row r="619" spans="33:37" x14ac:dyDescent="0.4">
      <c r="AG619" s="15" t="s">
        <v>108</v>
      </c>
      <c r="AH619" s="15" t="s">
        <v>98</v>
      </c>
      <c r="AI619" s="15" t="s">
        <v>101</v>
      </c>
      <c r="AJ619" s="15" t="s">
        <v>108</v>
      </c>
      <c r="AK619" s="15" t="s">
        <v>133</v>
      </c>
    </row>
    <row r="620" spans="33:37" x14ac:dyDescent="0.4">
      <c r="AG620" s="15" t="s">
        <v>108</v>
      </c>
      <c r="AH620" s="15" t="s">
        <v>98</v>
      </c>
      <c r="AI620" s="15" t="s">
        <v>101</v>
      </c>
      <c r="AJ620" s="15" t="s">
        <v>105</v>
      </c>
      <c r="AK620" s="15" t="s">
        <v>133</v>
      </c>
    </row>
    <row r="621" spans="33:37" x14ac:dyDescent="0.4">
      <c r="AG621" s="15" t="s">
        <v>108</v>
      </c>
      <c r="AH621" s="15" t="s">
        <v>98</v>
      </c>
      <c r="AI621" s="15" t="s">
        <v>101</v>
      </c>
      <c r="AJ621" s="57" t="s">
        <v>112</v>
      </c>
      <c r="AK621" s="15" t="s">
        <v>133</v>
      </c>
    </row>
    <row r="622" spans="33:37" x14ac:dyDescent="0.4">
      <c r="AG622" s="15" t="s">
        <v>108</v>
      </c>
      <c r="AH622" s="15" t="s">
        <v>98</v>
      </c>
      <c r="AI622" s="15" t="s">
        <v>101</v>
      </c>
      <c r="AJ622" s="15" t="s">
        <v>98</v>
      </c>
      <c r="AK622" s="15" t="s">
        <v>133</v>
      </c>
    </row>
    <row r="623" spans="33:37" x14ac:dyDescent="0.4">
      <c r="AG623" s="15" t="s">
        <v>108</v>
      </c>
      <c r="AH623" s="15" t="s">
        <v>98</v>
      </c>
      <c r="AI623" s="15" t="s">
        <v>100</v>
      </c>
      <c r="AJ623" s="15" t="s">
        <v>101</v>
      </c>
      <c r="AK623" s="15" t="s">
        <v>102</v>
      </c>
    </row>
    <row r="624" spans="33:37" x14ac:dyDescent="0.4">
      <c r="AG624" s="15" t="s">
        <v>108</v>
      </c>
      <c r="AH624" s="15" t="s">
        <v>98</v>
      </c>
      <c r="AI624" s="15" t="s">
        <v>100</v>
      </c>
      <c r="AJ624" s="15" t="s">
        <v>100</v>
      </c>
      <c r="AK624" s="15" t="s">
        <v>102</v>
      </c>
    </row>
    <row r="625" spans="33:37" x14ac:dyDescent="0.4">
      <c r="AG625" s="15" t="s">
        <v>108</v>
      </c>
      <c r="AH625" s="15" t="s">
        <v>98</v>
      </c>
      <c r="AI625" s="15" t="s">
        <v>100</v>
      </c>
      <c r="AJ625" s="15" t="s">
        <v>108</v>
      </c>
      <c r="AK625" s="15" t="s">
        <v>102</v>
      </c>
    </row>
    <row r="626" spans="33:37" x14ac:dyDescent="0.4">
      <c r="AG626" s="15" t="s">
        <v>108</v>
      </c>
      <c r="AH626" s="15" t="s">
        <v>98</v>
      </c>
      <c r="AI626" s="15" t="s">
        <v>100</v>
      </c>
      <c r="AJ626" s="15" t="s">
        <v>105</v>
      </c>
      <c r="AK626" s="15" t="s">
        <v>102</v>
      </c>
    </row>
    <row r="627" spans="33:37" x14ac:dyDescent="0.4">
      <c r="AG627" s="15" t="s">
        <v>108</v>
      </c>
      <c r="AH627" s="15" t="s">
        <v>98</v>
      </c>
      <c r="AI627" s="15" t="s">
        <v>100</v>
      </c>
      <c r="AJ627" s="57" t="s">
        <v>112</v>
      </c>
      <c r="AK627" s="15" t="s">
        <v>102</v>
      </c>
    </row>
    <row r="628" spans="33:37" x14ac:dyDescent="0.4">
      <c r="AG628" s="15" t="s">
        <v>108</v>
      </c>
      <c r="AH628" s="15" t="s">
        <v>98</v>
      </c>
      <c r="AI628" s="15" t="s">
        <v>100</v>
      </c>
      <c r="AJ628" s="15" t="s">
        <v>98</v>
      </c>
      <c r="AK628" s="15" t="s">
        <v>102</v>
      </c>
    </row>
    <row r="629" spans="33:37" x14ac:dyDescent="0.4">
      <c r="AG629" s="15" t="s">
        <v>108</v>
      </c>
      <c r="AH629" s="15" t="s">
        <v>98</v>
      </c>
      <c r="AI629" s="15" t="s">
        <v>108</v>
      </c>
      <c r="AJ629" s="15" t="s">
        <v>101</v>
      </c>
      <c r="AK629" s="15" t="s">
        <v>102</v>
      </c>
    </row>
    <row r="630" spans="33:37" x14ac:dyDescent="0.4">
      <c r="AG630" s="15" t="s">
        <v>108</v>
      </c>
      <c r="AH630" s="15" t="s">
        <v>98</v>
      </c>
      <c r="AI630" s="15" t="s">
        <v>108</v>
      </c>
      <c r="AJ630" s="15" t="s">
        <v>100</v>
      </c>
      <c r="AK630" s="15" t="s">
        <v>102</v>
      </c>
    </row>
    <row r="631" spans="33:37" x14ac:dyDescent="0.4">
      <c r="AG631" s="15" t="s">
        <v>108</v>
      </c>
      <c r="AH631" s="15" t="s">
        <v>98</v>
      </c>
      <c r="AI631" s="15" t="s">
        <v>108</v>
      </c>
      <c r="AJ631" s="15" t="s">
        <v>108</v>
      </c>
      <c r="AK631" s="15" t="s">
        <v>133</v>
      </c>
    </row>
    <row r="632" spans="33:37" x14ac:dyDescent="0.4">
      <c r="AG632" s="15" t="s">
        <v>108</v>
      </c>
      <c r="AH632" s="15" t="s">
        <v>98</v>
      </c>
      <c r="AI632" s="15" t="s">
        <v>108</v>
      </c>
      <c r="AJ632" s="15" t="s">
        <v>105</v>
      </c>
      <c r="AK632" s="15" t="s">
        <v>133</v>
      </c>
    </row>
    <row r="633" spans="33:37" x14ac:dyDescent="0.4">
      <c r="AG633" s="15" t="s">
        <v>108</v>
      </c>
      <c r="AH633" s="15" t="s">
        <v>98</v>
      </c>
      <c r="AI633" s="15" t="s">
        <v>108</v>
      </c>
      <c r="AJ633" s="57" t="s">
        <v>112</v>
      </c>
      <c r="AK633" s="15" t="s">
        <v>133</v>
      </c>
    </row>
    <row r="634" spans="33:37" x14ac:dyDescent="0.4">
      <c r="AG634" s="15" t="s">
        <v>108</v>
      </c>
      <c r="AH634" s="15" t="s">
        <v>98</v>
      </c>
      <c r="AI634" s="15" t="s">
        <v>108</v>
      </c>
      <c r="AJ634" s="15" t="s">
        <v>98</v>
      </c>
      <c r="AK634" s="15" t="s">
        <v>133</v>
      </c>
    </row>
    <row r="635" spans="33:37" x14ac:dyDescent="0.4">
      <c r="AG635" s="15" t="s">
        <v>108</v>
      </c>
      <c r="AH635" s="15" t="s">
        <v>98</v>
      </c>
      <c r="AI635" s="15" t="s">
        <v>105</v>
      </c>
      <c r="AJ635" s="15" t="s">
        <v>101</v>
      </c>
      <c r="AK635" s="15" t="s">
        <v>102</v>
      </c>
    </row>
    <row r="636" spans="33:37" x14ac:dyDescent="0.4">
      <c r="AG636" s="15" t="s">
        <v>108</v>
      </c>
      <c r="AH636" s="15" t="s">
        <v>98</v>
      </c>
      <c r="AI636" s="15" t="s">
        <v>105</v>
      </c>
      <c r="AJ636" s="15" t="s">
        <v>100</v>
      </c>
      <c r="AK636" s="15" t="s">
        <v>102</v>
      </c>
    </row>
    <row r="637" spans="33:37" x14ac:dyDescent="0.4">
      <c r="AG637" s="15" t="s">
        <v>108</v>
      </c>
      <c r="AH637" s="15" t="s">
        <v>98</v>
      </c>
      <c r="AI637" s="15" t="s">
        <v>105</v>
      </c>
      <c r="AJ637" s="15" t="s">
        <v>108</v>
      </c>
      <c r="AK637" s="15" t="s">
        <v>133</v>
      </c>
    </row>
    <row r="638" spans="33:37" x14ac:dyDescent="0.4">
      <c r="AG638" s="15" t="s">
        <v>108</v>
      </c>
      <c r="AH638" s="15" t="s">
        <v>98</v>
      </c>
      <c r="AI638" s="15" t="s">
        <v>105</v>
      </c>
      <c r="AJ638" s="15" t="s">
        <v>105</v>
      </c>
      <c r="AK638" s="15" t="s">
        <v>133</v>
      </c>
    </row>
    <row r="639" spans="33:37" x14ac:dyDescent="0.4">
      <c r="AG639" s="15" t="s">
        <v>108</v>
      </c>
      <c r="AH639" s="15" t="s">
        <v>98</v>
      </c>
      <c r="AI639" s="15" t="s">
        <v>105</v>
      </c>
      <c r="AJ639" s="57" t="s">
        <v>112</v>
      </c>
      <c r="AK639" s="15" t="s">
        <v>133</v>
      </c>
    </row>
    <row r="640" spans="33:37" x14ac:dyDescent="0.4">
      <c r="AG640" s="15" t="s">
        <v>108</v>
      </c>
      <c r="AH640" s="15" t="s">
        <v>98</v>
      </c>
      <c r="AI640" s="15" t="s">
        <v>105</v>
      </c>
      <c r="AJ640" s="15" t="s">
        <v>98</v>
      </c>
      <c r="AK640" s="15" t="s">
        <v>133</v>
      </c>
    </row>
    <row r="641" spans="33:37" x14ac:dyDescent="0.4">
      <c r="AG641" s="15" t="s">
        <v>108</v>
      </c>
      <c r="AH641" s="15" t="s">
        <v>98</v>
      </c>
      <c r="AI641" s="57" t="s">
        <v>112</v>
      </c>
      <c r="AJ641" s="15" t="s">
        <v>101</v>
      </c>
      <c r="AK641" s="15" t="s">
        <v>102</v>
      </c>
    </row>
    <row r="642" spans="33:37" x14ac:dyDescent="0.4">
      <c r="AG642" s="15" t="s">
        <v>108</v>
      </c>
      <c r="AH642" s="15" t="s">
        <v>98</v>
      </c>
      <c r="AI642" s="57" t="s">
        <v>112</v>
      </c>
      <c r="AJ642" s="15" t="s">
        <v>100</v>
      </c>
      <c r="AK642" s="15" t="s">
        <v>102</v>
      </c>
    </row>
    <row r="643" spans="33:37" x14ac:dyDescent="0.4">
      <c r="AG643" s="15" t="s">
        <v>108</v>
      </c>
      <c r="AH643" s="15" t="s">
        <v>98</v>
      </c>
      <c r="AI643" s="57" t="s">
        <v>112</v>
      </c>
      <c r="AJ643" s="15" t="s">
        <v>108</v>
      </c>
      <c r="AK643" s="15" t="s">
        <v>133</v>
      </c>
    </row>
    <row r="644" spans="33:37" x14ac:dyDescent="0.4">
      <c r="AG644" s="15" t="s">
        <v>108</v>
      </c>
      <c r="AH644" s="15" t="s">
        <v>98</v>
      </c>
      <c r="AI644" s="57" t="s">
        <v>112</v>
      </c>
      <c r="AJ644" s="15" t="s">
        <v>105</v>
      </c>
      <c r="AK644" s="15" t="s">
        <v>133</v>
      </c>
    </row>
    <row r="645" spans="33:37" x14ac:dyDescent="0.4">
      <c r="AG645" s="15" t="s">
        <v>108</v>
      </c>
      <c r="AH645" s="15" t="s">
        <v>98</v>
      </c>
      <c r="AI645" s="57" t="s">
        <v>112</v>
      </c>
      <c r="AJ645" s="57" t="s">
        <v>112</v>
      </c>
      <c r="AK645" s="15" t="s">
        <v>133</v>
      </c>
    </row>
    <row r="646" spans="33:37" x14ac:dyDescent="0.4">
      <c r="AG646" s="15" t="s">
        <v>108</v>
      </c>
      <c r="AH646" s="15" t="s">
        <v>98</v>
      </c>
      <c r="AI646" s="57" t="s">
        <v>112</v>
      </c>
      <c r="AJ646" s="15" t="s">
        <v>98</v>
      </c>
      <c r="AK646" s="15" t="s">
        <v>133</v>
      </c>
    </row>
    <row r="647" spans="33:37" x14ac:dyDescent="0.4">
      <c r="AG647" s="15" t="s">
        <v>108</v>
      </c>
      <c r="AH647" s="15" t="s">
        <v>98</v>
      </c>
      <c r="AI647" s="15" t="s">
        <v>98</v>
      </c>
      <c r="AJ647" s="15" t="s">
        <v>101</v>
      </c>
      <c r="AK647" s="15" t="s">
        <v>102</v>
      </c>
    </row>
    <row r="648" spans="33:37" x14ac:dyDescent="0.4">
      <c r="AG648" s="15" t="s">
        <v>108</v>
      </c>
      <c r="AH648" s="15" t="s">
        <v>98</v>
      </c>
      <c r="AI648" s="15" t="s">
        <v>98</v>
      </c>
      <c r="AJ648" s="15" t="s">
        <v>100</v>
      </c>
      <c r="AK648" s="15" t="s">
        <v>102</v>
      </c>
    </row>
    <row r="649" spans="33:37" x14ac:dyDescent="0.4">
      <c r="AG649" s="15" t="s">
        <v>108</v>
      </c>
      <c r="AH649" s="15" t="s">
        <v>98</v>
      </c>
      <c r="AI649" s="15" t="s">
        <v>98</v>
      </c>
      <c r="AJ649" s="15" t="s">
        <v>108</v>
      </c>
      <c r="AK649" s="15" t="s">
        <v>133</v>
      </c>
    </row>
    <row r="650" spans="33:37" x14ac:dyDescent="0.4">
      <c r="AG650" s="15" t="s">
        <v>108</v>
      </c>
      <c r="AH650" s="15" t="s">
        <v>98</v>
      </c>
      <c r="AI650" s="15" t="s">
        <v>98</v>
      </c>
      <c r="AJ650" s="15" t="s">
        <v>105</v>
      </c>
      <c r="AK650" s="15" t="s">
        <v>133</v>
      </c>
    </row>
    <row r="651" spans="33:37" x14ac:dyDescent="0.4">
      <c r="AG651" s="15" t="s">
        <v>108</v>
      </c>
      <c r="AH651" s="15" t="s">
        <v>98</v>
      </c>
      <c r="AI651" s="15" t="s">
        <v>98</v>
      </c>
      <c r="AJ651" s="57" t="s">
        <v>112</v>
      </c>
      <c r="AK651" s="15" t="s">
        <v>133</v>
      </c>
    </row>
    <row r="652" spans="33:37" x14ac:dyDescent="0.4">
      <c r="AG652" s="15" t="s">
        <v>108</v>
      </c>
      <c r="AH652" s="15" t="s">
        <v>98</v>
      </c>
      <c r="AI652" s="15" t="s">
        <v>98</v>
      </c>
      <c r="AJ652" s="15" t="s">
        <v>98</v>
      </c>
      <c r="AK652" s="15" t="s">
        <v>133</v>
      </c>
    </row>
    <row r="653" spans="33:37" x14ac:dyDescent="0.4">
      <c r="AG653" s="72" t="s">
        <v>105</v>
      </c>
      <c r="AH653" s="72" t="s">
        <v>101</v>
      </c>
      <c r="AI653" s="72" t="s">
        <v>101</v>
      </c>
      <c r="AJ653" s="72" t="s">
        <v>101</v>
      </c>
      <c r="AK653" s="15" t="s">
        <v>102</v>
      </c>
    </row>
    <row r="654" spans="33:37" x14ac:dyDescent="0.4">
      <c r="AG654" s="72" t="s">
        <v>105</v>
      </c>
      <c r="AH654" s="72" t="s">
        <v>101</v>
      </c>
      <c r="AI654" s="72" t="s">
        <v>101</v>
      </c>
      <c r="AJ654" s="72" t="s">
        <v>100</v>
      </c>
      <c r="AK654" s="15" t="s">
        <v>102</v>
      </c>
    </row>
    <row r="655" spans="33:37" x14ac:dyDescent="0.4">
      <c r="AG655" s="72" t="s">
        <v>105</v>
      </c>
      <c r="AH655" s="72" t="s">
        <v>101</v>
      </c>
      <c r="AI655" s="72" t="s">
        <v>101</v>
      </c>
      <c r="AJ655" s="72" t="s">
        <v>108</v>
      </c>
      <c r="AK655" s="15" t="s">
        <v>102</v>
      </c>
    </row>
    <row r="656" spans="33:37" x14ac:dyDescent="0.4">
      <c r="AG656" s="72" t="s">
        <v>105</v>
      </c>
      <c r="AH656" s="72" t="s">
        <v>101</v>
      </c>
      <c r="AI656" s="72" t="s">
        <v>101</v>
      </c>
      <c r="AJ656" s="72" t="s">
        <v>105</v>
      </c>
      <c r="AK656" s="15" t="s">
        <v>102</v>
      </c>
    </row>
    <row r="657" spans="33:37" x14ac:dyDescent="0.4">
      <c r="AG657" s="72" t="s">
        <v>105</v>
      </c>
      <c r="AH657" s="72" t="s">
        <v>101</v>
      </c>
      <c r="AI657" s="72" t="s">
        <v>101</v>
      </c>
      <c r="AJ657" s="73" t="s">
        <v>112</v>
      </c>
      <c r="AK657" s="15" t="s">
        <v>102</v>
      </c>
    </row>
    <row r="658" spans="33:37" x14ac:dyDescent="0.4">
      <c r="AG658" s="72" t="s">
        <v>105</v>
      </c>
      <c r="AH658" s="72" t="s">
        <v>101</v>
      </c>
      <c r="AI658" s="72" t="s">
        <v>101</v>
      </c>
      <c r="AJ658" s="72" t="s">
        <v>98</v>
      </c>
      <c r="AK658" s="15" t="s">
        <v>102</v>
      </c>
    </row>
    <row r="659" spans="33:37" x14ac:dyDescent="0.4">
      <c r="AG659" s="72" t="s">
        <v>105</v>
      </c>
      <c r="AH659" s="72" t="s">
        <v>101</v>
      </c>
      <c r="AI659" s="72" t="s">
        <v>100</v>
      </c>
      <c r="AJ659" s="72" t="s">
        <v>101</v>
      </c>
      <c r="AK659" s="15" t="s">
        <v>102</v>
      </c>
    </row>
    <row r="660" spans="33:37" x14ac:dyDescent="0.4">
      <c r="AG660" s="72" t="s">
        <v>105</v>
      </c>
      <c r="AH660" s="72" t="s">
        <v>101</v>
      </c>
      <c r="AI660" s="72" t="s">
        <v>100</v>
      </c>
      <c r="AJ660" s="72" t="s">
        <v>100</v>
      </c>
      <c r="AK660" s="15" t="s">
        <v>102</v>
      </c>
    </row>
    <row r="661" spans="33:37" x14ac:dyDescent="0.4">
      <c r="AG661" s="72" t="s">
        <v>105</v>
      </c>
      <c r="AH661" s="72" t="s">
        <v>101</v>
      </c>
      <c r="AI661" s="72" t="s">
        <v>100</v>
      </c>
      <c r="AJ661" s="72" t="s">
        <v>108</v>
      </c>
      <c r="AK661" s="15" t="s">
        <v>102</v>
      </c>
    </row>
    <row r="662" spans="33:37" x14ac:dyDescent="0.4">
      <c r="AG662" s="72" t="s">
        <v>105</v>
      </c>
      <c r="AH662" s="72" t="s">
        <v>101</v>
      </c>
      <c r="AI662" s="72" t="s">
        <v>100</v>
      </c>
      <c r="AJ662" s="72" t="s">
        <v>105</v>
      </c>
      <c r="AK662" s="15" t="s">
        <v>102</v>
      </c>
    </row>
    <row r="663" spans="33:37" x14ac:dyDescent="0.4">
      <c r="AG663" s="72" t="s">
        <v>105</v>
      </c>
      <c r="AH663" s="72" t="s">
        <v>101</v>
      </c>
      <c r="AI663" s="72" t="s">
        <v>100</v>
      </c>
      <c r="AJ663" s="73" t="s">
        <v>112</v>
      </c>
      <c r="AK663" s="15" t="s">
        <v>102</v>
      </c>
    </row>
    <row r="664" spans="33:37" x14ac:dyDescent="0.4">
      <c r="AG664" s="72" t="s">
        <v>105</v>
      </c>
      <c r="AH664" s="72" t="s">
        <v>101</v>
      </c>
      <c r="AI664" s="72" t="s">
        <v>100</v>
      </c>
      <c r="AJ664" s="72" t="s">
        <v>98</v>
      </c>
      <c r="AK664" s="15" t="s">
        <v>102</v>
      </c>
    </row>
    <row r="665" spans="33:37" x14ac:dyDescent="0.4">
      <c r="AG665" s="72" t="s">
        <v>105</v>
      </c>
      <c r="AH665" s="72" t="s">
        <v>101</v>
      </c>
      <c r="AI665" s="72" t="s">
        <v>108</v>
      </c>
      <c r="AJ665" s="72" t="s">
        <v>101</v>
      </c>
      <c r="AK665" s="15" t="s">
        <v>102</v>
      </c>
    </row>
    <row r="666" spans="33:37" x14ac:dyDescent="0.4">
      <c r="AG666" s="72" t="s">
        <v>105</v>
      </c>
      <c r="AH666" s="72" t="s">
        <v>101</v>
      </c>
      <c r="AI666" s="72" t="s">
        <v>108</v>
      </c>
      <c r="AJ666" s="72" t="s">
        <v>100</v>
      </c>
      <c r="AK666" s="15" t="s">
        <v>102</v>
      </c>
    </row>
    <row r="667" spans="33:37" x14ac:dyDescent="0.4">
      <c r="AG667" s="72" t="s">
        <v>105</v>
      </c>
      <c r="AH667" s="72" t="s">
        <v>101</v>
      </c>
      <c r="AI667" s="72" t="s">
        <v>108</v>
      </c>
      <c r="AJ667" s="72" t="s">
        <v>108</v>
      </c>
      <c r="AK667" s="15" t="s">
        <v>102</v>
      </c>
    </row>
    <row r="668" spans="33:37" x14ac:dyDescent="0.4">
      <c r="AG668" s="72" t="s">
        <v>105</v>
      </c>
      <c r="AH668" s="72" t="s">
        <v>101</v>
      </c>
      <c r="AI668" s="72" t="s">
        <v>108</v>
      </c>
      <c r="AJ668" s="72" t="s">
        <v>105</v>
      </c>
      <c r="AK668" s="15" t="s">
        <v>102</v>
      </c>
    </row>
    <row r="669" spans="33:37" x14ac:dyDescent="0.4">
      <c r="AG669" s="72" t="s">
        <v>105</v>
      </c>
      <c r="AH669" s="72" t="s">
        <v>101</v>
      </c>
      <c r="AI669" s="72" t="s">
        <v>108</v>
      </c>
      <c r="AJ669" s="73" t="s">
        <v>112</v>
      </c>
      <c r="AK669" s="15" t="s">
        <v>102</v>
      </c>
    </row>
    <row r="670" spans="33:37" x14ac:dyDescent="0.4">
      <c r="AG670" s="72" t="s">
        <v>105</v>
      </c>
      <c r="AH670" s="72" t="s">
        <v>101</v>
      </c>
      <c r="AI670" s="72" t="s">
        <v>108</v>
      </c>
      <c r="AJ670" s="72" t="s">
        <v>98</v>
      </c>
      <c r="AK670" s="15" t="s">
        <v>102</v>
      </c>
    </row>
    <row r="671" spans="33:37" x14ac:dyDescent="0.4">
      <c r="AG671" s="72" t="s">
        <v>105</v>
      </c>
      <c r="AH671" s="72" t="s">
        <v>101</v>
      </c>
      <c r="AI671" s="72" t="s">
        <v>105</v>
      </c>
      <c r="AJ671" s="72" t="s">
        <v>101</v>
      </c>
      <c r="AK671" s="15" t="s">
        <v>102</v>
      </c>
    </row>
    <row r="672" spans="33:37" x14ac:dyDescent="0.4">
      <c r="AG672" s="72" t="s">
        <v>105</v>
      </c>
      <c r="AH672" s="72" t="s">
        <v>101</v>
      </c>
      <c r="AI672" s="72" t="s">
        <v>105</v>
      </c>
      <c r="AJ672" s="72" t="s">
        <v>100</v>
      </c>
      <c r="AK672" s="15" t="s">
        <v>102</v>
      </c>
    </row>
    <row r="673" spans="33:37" x14ac:dyDescent="0.4">
      <c r="AG673" s="72" t="s">
        <v>105</v>
      </c>
      <c r="AH673" s="72" t="s">
        <v>101</v>
      </c>
      <c r="AI673" s="72" t="s">
        <v>105</v>
      </c>
      <c r="AJ673" s="72" t="s">
        <v>108</v>
      </c>
      <c r="AK673" s="15" t="s">
        <v>102</v>
      </c>
    </row>
    <row r="674" spans="33:37" x14ac:dyDescent="0.4">
      <c r="AG674" s="72" t="s">
        <v>105</v>
      </c>
      <c r="AH674" s="72" t="s">
        <v>101</v>
      </c>
      <c r="AI674" s="72" t="s">
        <v>105</v>
      </c>
      <c r="AJ674" s="72" t="s">
        <v>105</v>
      </c>
      <c r="AK674" s="15" t="s">
        <v>102</v>
      </c>
    </row>
    <row r="675" spans="33:37" x14ac:dyDescent="0.4">
      <c r="AG675" s="72" t="s">
        <v>105</v>
      </c>
      <c r="AH675" s="72" t="s">
        <v>101</v>
      </c>
      <c r="AI675" s="72" t="s">
        <v>105</v>
      </c>
      <c r="AJ675" s="73" t="s">
        <v>112</v>
      </c>
      <c r="AK675" s="15" t="s">
        <v>102</v>
      </c>
    </row>
    <row r="676" spans="33:37" x14ac:dyDescent="0.4">
      <c r="AG676" s="72" t="s">
        <v>105</v>
      </c>
      <c r="AH676" s="72" t="s">
        <v>101</v>
      </c>
      <c r="AI676" s="72" t="s">
        <v>105</v>
      </c>
      <c r="AJ676" s="72" t="s">
        <v>98</v>
      </c>
      <c r="AK676" s="15" t="s">
        <v>102</v>
      </c>
    </row>
    <row r="677" spans="33:37" x14ac:dyDescent="0.4">
      <c r="AG677" s="72" t="s">
        <v>105</v>
      </c>
      <c r="AH677" s="72" t="s">
        <v>101</v>
      </c>
      <c r="AI677" s="73" t="s">
        <v>112</v>
      </c>
      <c r="AJ677" s="72" t="s">
        <v>101</v>
      </c>
      <c r="AK677" s="15" t="s">
        <v>102</v>
      </c>
    </row>
    <row r="678" spans="33:37" x14ac:dyDescent="0.4">
      <c r="AG678" s="72" t="s">
        <v>105</v>
      </c>
      <c r="AH678" s="72" t="s">
        <v>101</v>
      </c>
      <c r="AI678" s="73" t="s">
        <v>112</v>
      </c>
      <c r="AJ678" s="72" t="s">
        <v>100</v>
      </c>
      <c r="AK678" s="15" t="s">
        <v>102</v>
      </c>
    </row>
    <row r="679" spans="33:37" x14ac:dyDescent="0.4">
      <c r="AG679" s="72" t="s">
        <v>105</v>
      </c>
      <c r="AH679" s="72" t="s">
        <v>101</v>
      </c>
      <c r="AI679" s="73" t="s">
        <v>112</v>
      </c>
      <c r="AJ679" s="72" t="s">
        <v>108</v>
      </c>
      <c r="AK679" s="15" t="s">
        <v>102</v>
      </c>
    </row>
    <row r="680" spans="33:37" x14ac:dyDescent="0.4">
      <c r="AG680" s="72" t="s">
        <v>105</v>
      </c>
      <c r="AH680" s="72" t="s">
        <v>101</v>
      </c>
      <c r="AI680" s="73" t="s">
        <v>112</v>
      </c>
      <c r="AJ680" s="72" t="s">
        <v>105</v>
      </c>
      <c r="AK680" s="15" t="s">
        <v>102</v>
      </c>
    </row>
    <row r="681" spans="33:37" x14ac:dyDescent="0.4">
      <c r="AG681" s="72" t="s">
        <v>105</v>
      </c>
      <c r="AH681" s="72" t="s">
        <v>101</v>
      </c>
      <c r="AI681" s="73" t="s">
        <v>112</v>
      </c>
      <c r="AJ681" s="73" t="s">
        <v>112</v>
      </c>
      <c r="AK681" s="15" t="s">
        <v>102</v>
      </c>
    </row>
    <row r="682" spans="33:37" x14ac:dyDescent="0.4">
      <c r="AG682" s="72" t="s">
        <v>105</v>
      </c>
      <c r="AH682" s="72" t="s">
        <v>101</v>
      </c>
      <c r="AI682" s="73" t="s">
        <v>112</v>
      </c>
      <c r="AJ682" s="72" t="s">
        <v>98</v>
      </c>
      <c r="AK682" s="15" t="s">
        <v>102</v>
      </c>
    </row>
    <row r="683" spans="33:37" x14ac:dyDescent="0.4">
      <c r="AG683" s="72" t="s">
        <v>105</v>
      </c>
      <c r="AH683" s="72" t="s">
        <v>101</v>
      </c>
      <c r="AI683" s="72" t="s">
        <v>98</v>
      </c>
      <c r="AJ683" s="72" t="s">
        <v>101</v>
      </c>
      <c r="AK683" s="15" t="s">
        <v>102</v>
      </c>
    </row>
    <row r="684" spans="33:37" x14ac:dyDescent="0.4">
      <c r="AG684" s="72" t="s">
        <v>105</v>
      </c>
      <c r="AH684" s="72" t="s">
        <v>101</v>
      </c>
      <c r="AI684" s="72" t="s">
        <v>98</v>
      </c>
      <c r="AJ684" s="72" t="s">
        <v>100</v>
      </c>
      <c r="AK684" s="15" t="s">
        <v>102</v>
      </c>
    </row>
    <row r="685" spans="33:37" x14ac:dyDescent="0.4">
      <c r="AG685" s="72" t="s">
        <v>105</v>
      </c>
      <c r="AH685" s="72" t="s">
        <v>101</v>
      </c>
      <c r="AI685" s="72" t="s">
        <v>98</v>
      </c>
      <c r="AJ685" s="72" t="s">
        <v>108</v>
      </c>
      <c r="AK685" s="15" t="s">
        <v>102</v>
      </c>
    </row>
    <row r="686" spans="33:37" x14ac:dyDescent="0.4">
      <c r="AG686" s="72" t="s">
        <v>105</v>
      </c>
      <c r="AH686" s="72" t="s">
        <v>101</v>
      </c>
      <c r="AI686" s="72" t="s">
        <v>98</v>
      </c>
      <c r="AJ686" s="72" t="s">
        <v>105</v>
      </c>
      <c r="AK686" s="15" t="s">
        <v>102</v>
      </c>
    </row>
    <row r="687" spans="33:37" x14ac:dyDescent="0.4">
      <c r="AG687" s="72" t="s">
        <v>105</v>
      </c>
      <c r="AH687" s="72" t="s">
        <v>101</v>
      </c>
      <c r="AI687" s="72" t="s">
        <v>98</v>
      </c>
      <c r="AJ687" s="73" t="s">
        <v>112</v>
      </c>
      <c r="AK687" s="15" t="s">
        <v>102</v>
      </c>
    </row>
    <row r="688" spans="33:37" x14ac:dyDescent="0.4">
      <c r="AG688" s="72" t="s">
        <v>105</v>
      </c>
      <c r="AH688" s="72" t="s">
        <v>101</v>
      </c>
      <c r="AI688" s="72" t="s">
        <v>98</v>
      </c>
      <c r="AJ688" s="72" t="s">
        <v>98</v>
      </c>
      <c r="AK688" s="15" t="s">
        <v>102</v>
      </c>
    </row>
    <row r="689" spans="33:37" x14ac:dyDescent="0.4">
      <c r="AG689" s="72" t="s">
        <v>105</v>
      </c>
      <c r="AH689" s="72" t="s">
        <v>100</v>
      </c>
      <c r="AI689" s="72" t="s">
        <v>101</v>
      </c>
      <c r="AJ689" s="72" t="s">
        <v>101</v>
      </c>
      <c r="AK689" s="15" t="s">
        <v>102</v>
      </c>
    </row>
    <row r="690" spans="33:37" x14ac:dyDescent="0.4">
      <c r="AG690" s="72" t="s">
        <v>105</v>
      </c>
      <c r="AH690" s="72" t="s">
        <v>100</v>
      </c>
      <c r="AI690" s="72" t="s">
        <v>101</v>
      </c>
      <c r="AJ690" s="72" t="s">
        <v>100</v>
      </c>
      <c r="AK690" s="15" t="s">
        <v>102</v>
      </c>
    </row>
    <row r="691" spans="33:37" x14ac:dyDescent="0.4">
      <c r="AG691" s="72" t="s">
        <v>105</v>
      </c>
      <c r="AH691" s="72" t="s">
        <v>100</v>
      </c>
      <c r="AI691" s="72" t="s">
        <v>101</v>
      </c>
      <c r="AJ691" s="72" t="s">
        <v>108</v>
      </c>
      <c r="AK691" s="15" t="s">
        <v>102</v>
      </c>
    </row>
    <row r="692" spans="33:37" x14ac:dyDescent="0.4">
      <c r="AG692" s="72" t="s">
        <v>105</v>
      </c>
      <c r="AH692" s="72" t="s">
        <v>100</v>
      </c>
      <c r="AI692" s="72" t="s">
        <v>101</v>
      </c>
      <c r="AJ692" s="72" t="s">
        <v>105</v>
      </c>
      <c r="AK692" s="15" t="s">
        <v>102</v>
      </c>
    </row>
    <row r="693" spans="33:37" x14ac:dyDescent="0.4">
      <c r="AG693" s="72" t="s">
        <v>105</v>
      </c>
      <c r="AH693" s="72" t="s">
        <v>100</v>
      </c>
      <c r="AI693" s="72" t="s">
        <v>101</v>
      </c>
      <c r="AJ693" s="73" t="s">
        <v>112</v>
      </c>
      <c r="AK693" s="15" t="s">
        <v>102</v>
      </c>
    </row>
    <row r="694" spans="33:37" x14ac:dyDescent="0.4">
      <c r="AG694" s="72" t="s">
        <v>105</v>
      </c>
      <c r="AH694" s="72" t="s">
        <v>100</v>
      </c>
      <c r="AI694" s="72" t="s">
        <v>101</v>
      </c>
      <c r="AJ694" s="72" t="s">
        <v>98</v>
      </c>
      <c r="AK694" s="15" t="s">
        <v>102</v>
      </c>
    </row>
    <row r="695" spans="33:37" x14ac:dyDescent="0.4">
      <c r="AG695" s="72" t="s">
        <v>105</v>
      </c>
      <c r="AH695" s="72" t="s">
        <v>100</v>
      </c>
      <c r="AI695" s="72" t="s">
        <v>100</v>
      </c>
      <c r="AJ695" s="72" t="s">
        <v>101</v>
      </c>
      <c r="AK695" s="15" t="s">
        <v>102</v>
      </c>
    </row>
    <row r="696" spans="33:37" x14ac:dyDescent="0.4">
      <c r="AG696" s="72" t="s">
        <v>105</v>
      </c>
      <c r="AH696" s="72" t="s">
        <v>100</v>
      </c>
      <c r="AI696" s="72" t="s">
        <v>100</v>
      </c>
      <c r="AJ696" s="72" t="s">
        <v>100</v>
      </c>
      <c r="AK696" s="15" t="s">
        <v>102</v>
      </c>
    </row>
    <row r="697" spans="33:37" x14ac:dyDescent="0.4">
      <c r="AG697" s="72" t="s">
        <v>105</v>
      </c>
      <c r="AH697" s="72" t="s">
        <v>100</v>
      </c>
      <c r="AI697" s="72" t="s">
        <v>100</v>
      </c>
      <c r="AJ697" s="72" t="s">
        <v>108</v>
      </c>
      <c r="AK697" s="15" t="s">
        <v>102</v>
      </c>
    </row>
    <row r="698" spans="33:37" x14ac:dyDescent="0.4">
      <c r="AG698" s="72" t="s">
        <v>105</v>
      </c>
      <c r="AH698" s="72" t="s">
        <v>100</v>
      </c>
      <c r="AI698" s="72" t="s">
        <v>100</v>
      </c>
      <c r="AJ698" s="72" t="s">
        <v>105</v>
      </c>
      <c r="AK698" s="15" t="s">
        <v>102</v>
      </c>
    </row>
    <row r="699" spans="33:37" x14ac:dyDescent="0.4">
      <c r="AG699" s="72" t="s">
        <v>105</v>
      </c>
      <c r="AH699" s="72" t="s">
        <v>100</v>
      </c>
      <c r="AI699" s="72" t="s">
        <v>100</v>
      </c>
      <c r="AJ699" s="73" t="s">
        <v>112</v>
      </c>
      <c r="AK699" s="15" t="s">
        <v>102</v>
      </c>
    </row>
    <row r="700" spans="33:37" x14ac:dyDescent="0.4">
      <c r="AG700" s="72" t="s">
        <v>105</v>
      </c>
      <c r="AH700" s="72" t="s">
        <v>100</v>
      </c>
      <c r="AI700" s="72" t="s">
        <v>100</v>
      </c>
      <c r="AJ700" s="72" t="s">
        <v>98</v>
      </c>
      <c r="AK700" s="15" t="s">
        <v>102</v>
      </c>
    </row>
    <row r="701" spans="33:37" x14ac:dyDescent="0.4">
      <c r="AG701" s="72" t="s">
        <v>105</v>
      </c>
      <c r="AH701" s="72" t="s">
        <v>100</v>
      </c>
      <c r="AI701" s="72" t="s">
        <v>108</v>
      </c>
      <c r="AJ701" s="72" t="s">
        <v>101</v>
      </c>
      <c r="AK701" s="15" t="s">
        <v>102</v>
      </c>
    </row>
    <row r="702" spans="33:37" x14ac:dyDescent="0.4">
      <c r="AG702" s="72" t="s">
        <v>105</v>
      </c>
      <c r="AH702" s="72" t="s">
        <v>100</v>
      </c>
      <c r="AI702" s="72" t="s">
        <v>108</v>
      </c>
      <c r="AJ702" s="72" t="s">
        <v>100</v>
      </c>
      <c r="AK702" s="15" t="s">
        <v>102</v>
      </c>
    </row>
    <row r="703" spans="33:37" x14ac:dyDescent="0.4">
      <c r="AG703" s="72" t="s">
        <v>105</v>
      </c>
      <c r="AH703" s="72" t="s">
        <v>100</v>
      </c>
      <c r="AI703" s="72" t="s">
        <v>108</v>
      </c>
      <c r="AJ703" s="72" t="s">
        <v>108</v>
      </c>
      <c r="AK703" s="15" t="s">
        <v>102</v>
      </c>
    </row>
    <row r="704" spans="33:37" x14ac:dyDescent="0.4">
      <c r="AG704" s="72" t="s">
        <v>105</v>
      </c>
      <c r="AH704" s="72" t="s">
        <v>100</v>
      </c>
      <c r="AI704" s="72" t="s">
        <v>108</v>
      </c>
      <c r="AJ704" s="72" t="s">
        <v>105</v>
      </c>
      <c r="AK704" s="15" t="s">
        <v>102</v>
      </c>
    </row>
    <row r="705" spans="33:37" x14ac:dyDescent="0.4">
      <c r="AG705" s="72" t="s">
        <v>105</v>
      </c>
      <c r="AH705" s="72" t="s">
        <v>100</v>
      </c>
      <c r="AI705" s="72" t="s">
        <v>108</v>
      </c>
      <c r="AJ705" s="73" t="s">
        <v>112</v>
      </c>
      <c r="AK705" s="15" t="s">
        <v>102</v>
      </c>
    </row>
    <row r="706" spans="33:37" x14ac:dyDescent="0.4">
      <c r="AG706" s="72" t="s">
        <v>105</v>
      </c>
      <c r="AH706" s="72" t="s">
        <v>100</v>
      </c>
      <c r="AI706" s="72" t="s">
        <v>108</v>
      </c>
      <c r="AJ706" s="72" t="s">
        <v>98</v>
      </c>
      <c r="AK706" s="15" t="s">
        <v>102</v>
      </c>
    </row>
    <row r="707" spans="33:37" x14ac:dyDescent="0.4">
      <c r="AG707" s="72" t="s">
        <v>105</v>
      </c>
      <c r="AH707" s="72" t="s">
        <v>100</v>
      </c>
      <c r="AI707" s="72" t="s">
        <v>105</v>
      </c>
      <c r="AJ707" s="72" t="s">
        <v>101</v>
      </c>
      <c r="AK707" s="15" t="s">
        <v>102</v>
      </c>
    </row>
    <row r="708" spans="33:37" x14ac:dyDescent="0.4">
      <c r="AG708" s="72" t="s">
        <v>105</v>
      </c>
      <c r="AH708" s="72" t="s">
        <v>100</v>
      </c>
      <c r="AI708" s="72" t="s">
        <v>105</v>
      </c>
      <c r="AJ708" s="72" t="s">
        <v>100</v>
      </c>
      <c r="AK708" s="15" t="s">
        <v>102</v>
      </c>
    </row>
    <row r="709" spans="33:37" x14ac:dyDescent="0.4">
      <c r="AG709" s="72" t="s">
        <v>105</v>
      </c>
      <c r="AH709" s="72" t="s">
        <v>100</v>
      </c>
      <c r="AI709" s="72" t="s">
        <v>105</v>
      </c>
      <c r="AJ709" s="72" t="s">
        <v>108</v>
      </c>
      <c r="AK709" s="15" t="s">
        <v>102</v>
      </c>
    </row>
    <row r="710" spans="33:37" x14ac:dyDescent="0.4">
      <c r="AG710" s="72" t="s">
        <v>105</v>
      </c>
      <c r="AH710" s="72" t="s">
        <v>100</v>
      </c>
      <c r="AI710" s="72" t="s">
        <v>105</v>
      </c>
      <c r="AJ710" s="72" t="s">
        <v>105</v>
      </c>
      <c r="AK710" s="15" t="s">
        <v>102</v>
      </c>
    </row>
    <row r="711" spans="33:37" x14ac:dyDescent="0.4">
      <c r="AG711" s="72" t="s">
        <v>105</v>
      </c>
      <c r="AH711" s="72" t="s">
        <v>100</v>
      </c>
      <c r="AI711" s="72" t="s">
        <v>105</v>
      </c>
      <c r="AJ711" s="73" t="s">
        <v>112</v>
      </c>
      <c r="AK711" s="15" t="s">
        <v>102</v>
      </c>
    </row>
    <row r="712" spans="33:37" x14ac:dyDescent="0.4">
      <c r="AG712" s="72" t="s">
        <v>105</v>
      </c>
      <c r="AH712" s="72" t="s">
        <v>100</v>
      </c>
      <c r="AI712" s="72" t="s">
        <v>105</v>
      </c>
      <c r="AJ712" s="72" t="s">
        <v>98</v>
      </c>
      <c r="AK712" s="15" t="s">
        <v>102</v>
      </c>
    </row>
    <row r="713" spans="33:37" x14ac:dyDescent="0.4">
      <c r="AG713" s="72" t="s">
        <v>105</v>
      </c>
      <c r="AH713" s="72" t="s">
        <v>100</v>
      </c>
      <c r="AI713" s="73" t="s">
        <v>112</v>
      </c>
      <c r="AJ713" s="72" t="s">
        <v>101</v>
      </c>
      <c r="AK713" s="15" t="s">
        <v>102</v>
      </c>
    </row>
    <row r="714" spans="33:37" x14ac:dyDescent="0.4">
      <c r="AG714" s="72" t="s">
        <v>105</v>
      </c>
      <c r="AH714" s="72" t="s">
        <v>100</v>
      </c>
      <c r="AI714" s="73" t="s">
        <v>112</v>
      </c>
      <c r="AJ714" s="72" t="s">
        <v>100</v>
      </c>
      <c r="AK714" s="15" t="s">
        <v>102</v>
      </c>
    </row>
    <row r="715" spans="33:37" x14ac:dyDescent="0.4">
      <c r="AG715" s="72" t="s">
        <v>105</v>
      </c>
      <c r="AH715" s="72" t="s">
        <v>100</v>
      </c>
      <c r="AI715" s="73" t="s">
        <v>112</v>
      </c>
      <c r="AJ715" s="72" t="s">
        <v>108</v>
      </c>
      <c r="AK715" s="15" t="s">
        <v>102</v>
      </c>
    </row>
    <row r="716" spans="33:37" x14ac:dyDescent="0.4">
      <c r="AG716" s="72" t="s">
        <v>105</v>
      </c>
      <c r="AH716" s="72" t="s">
        <v>100</v>
      </c>
      <c r="AI716" s="73" t="s">
        <v>112</v>
      </c>
      <c r="AJ716" s="72" t="s">
        <v>105</v>
      </c>
      <c r="AK716" s="15" t="s">
        <v>102</v>
      </c>
    </row>
    <row r="717" spans="33:37" x14ac:dyDescent="0.4">
      <c r="AG717" s="72" t="s">
        <v>105</v>
      </c>
      <c r="AH717" s="72" t="s">
        <v>100</v>
      </c>
      <c r="AI717" s="73" t="s">
        <v>112</v>
      </c>
      <c r="AJ717" s="73" t="s">
        <v>112</v>
      </c>
      <c r="AK717" s="15" t="s">
        <v>102</v>
      </c>
    </row>
    <row r="718" spans="33:37" x14ac:dyDescent="0.4">
      <c r="AG718" s="72" t="s">
        <v>105</v>
      </c>
      <c r="AH718" s="72" t="s">
        <v>100</v>
      </c>
      <c r="AI718" s="73" t="s">
        <v>112</v>
      </c>
      <c r="AJ718" s="72" t="s">
        <v>98</v>
      </c>
      <c r="AK718" s="15" t="s">
        <v>102</v>
      </c>
    </row>
    <row r="719" spans="33:37" x14ac:dyDescent="0.4">
      <c r="AG719" s="72" t="s">
        <v>105</v>
      </c>
      <c r="AH719" s="72" t="s">
        <v>100</v>
      </c>
      <c r="AI719" s="72" t="s">
        <v>98</v>
      </c>
      <c r="AJ719" s="72" t="s">
        <v>101</v>
      </c>
      <c r="AK719" s="15" t="s">
        <v>102</v>
      </c>
    </row>
    <row r="720" spans="33:37" x14ac:dyDescent="0.4">
      <c r="AG720" s="72" t="s">
        <v>105</v>
      </c>
      <c r="AH720" s="72" t="s">
        <v>100</v>
      </c>
      <c r="AI720" s="72" t="s">
        <v>98</v>
      </c>
      <c r="AJ720" s="72" t="s">
        <v>100</v>
      </c>
      <c r="AK720" s="15" t="s">
        <v>102</v>
      </c>
    </row>
    <row r="721" spans="33:37" x14ac:dyDescent="0.4">
      <c r="AG721" s="72" t="s">
        <v>105</v>
      </c>
      <c r="AH721" s="72" t="s">
        <v>100</v>
      </c>
      <c r="AI721" s="72" t="s">
        <v>98</v>
      </c>
      <c r="AJ721" s="72" t="s">
        <v>108</v>
      </c>
      <c r="AK721" s="15" t="s">
        <v>102</v>
      </c>
    </row>
    <row r="722" spans="33:37" x14ac:dyDescent="0.4">
      <c r="AG722" s="72" t="s">
        <v>105</v>
      </c>
      <c r="AH722" s="72" t="s">
        <v>100</v>
      </c>
      <c r="AI722" s="72" t="s">
        <v>98</v>
      </c>
      <c r="AJ722" s="72" t="s">
        <v>105</v>
      </c>
      <c r="AK722" s="15" t="s">
        <v>102</v>
      </c>
    </row>
    <row r="723" spans="33:37" x14ac:dyDescent="0.4">
      <c r="AG723" s="72" t="s">
        <v>105</v>
      </c>
      <c r="AH723" s="72" t="s">
        <v>100</v>
      </c>
      <c r="AI723" s="72" t="s">
        <v>98</v>
      </c>
      <c r="AJ723" s="73" t="s">
        <v>112</v>
      </c>
      <c r="AK723" s="15" t="s">
        <v>102</v>
      </c>
    </row>
    <row r="724" spans="33:37" x14ac:dyDescent="0.4">
      <c r="AG724" s="72" t="s">
        <v>105</v>
      </c>
      <c r="AH724" s="72" t="s">
        <v>100</v>
      </c>
      <c r="AI724" s="72" t="s">
        <v>98</v>
      </c>
      <c r="AJ724" s="72" t="s">
        <v>98</v>
      </c>
      <c r="AK724" s="15" t="s">
        <v>102</v>
      </c>
    </row>
    <row r="725" spans="33:37" x14ac:dyDescent="0.4">
      <c r="AG725" s="72" t="s">
        <v>105</v>
      </c>
      <c r="AH725" s="72" t="s">
        <v>108</v>
      </c>
      <c r="AI725" s="72" t="s">
        <v>101</v>
      </c>
      <c r="AJ725" s="72" t="s">
        <v>101</v>
      </c>
      <c r="AK725" s="15" t="s">
        <v>102</v>
      </c>
    </row>
    <row r="726" spans="33:37" x14ac:dyDescent="0.4">
      <c r="AG726" s="72" t="s">
        <v>105</v>
      </c>
      <c r="AH726" s="72" t="s">
        <v>108</v>
      </c>
      <c r="AI726" s="72" t="s">
        <v>101</v>
      </c>
      <c r="AJ726" s="72" t="s">
        <v>100</v>
      </c>
      <c r="AK726" s="15" t="s">
        <v>102</v>
      </c>
    </row>
    <row r="727" spans="33:37" x14ac:dyDescent="0.4">
      <c r="AG727" s="72" t="s">
        <v>105</v>
      </c>
      <c r="AH727" s="72" t="s">
        <v>108</v>
      </c>
      <c r="AI727" s="72" t="s">
        <v>101</v>
      </c>
      <c r="AJ727" s="72" t="s">
        <v>108</v>
      </c>
      <c r="AK727" s="15" t="s">
        <v>102</v>
      </c>
    </row>
    <row r="728" spans="33:37" x14ac:dyDescent="0.4">
      <c r="AG728" s="72" t="s">
        <v>105</v>
      </c>
      <c r="AH728" s="72" t="s">
        <v>108</v>
      </c>
      <c r="AI728" s="72" t="s">
        <v>101</v>
      </c>
      <c r="AJ728" s="72" t="s">
        <v>105</v>
      </c>
      <c r="AK728" s="15" t="s">
        <v>102</v>
      </c>
    </row>
    <row r="729" spans="33:37" x14ac:dyDescent="0.4">
      <c r="AG729" s="72" t="s">
        <v>105</v>
      </c>
      <c r="AH729" s="72" t="s">
        <v>108</v>
      </c>
      <c r="AI729" s="72" t="s">
        <v>101</v>
      </c>
      <c r="AJ729" s="73" t="s">
        <v>112</v>
      </c>
      <c r="AK729" s="15" t="s">
        <v>102</v>
      </c>
    </row>
    <row r="730" spans="33:37" x14ac:dyDescent="0.4">
      <c r="AG730" s="72" t="s">
        <v>105</v>
      </c>
      <c r="AH730" s="72" t="s">
        <v>108</v>
      </c>
      <c r="AI730" s="72" t="s">
        <v>101</v>
      </c>
      <c r="AJ730" s="72" t="s">
        <v>98</v>
      </c>
      <c r="AK730" s="15" t="s">
        <v>102</v>
      </c>
    </row>
    <row r="731" spans="33:37" x14ac:dyDescent="0.4">
      <c r="AG731" s="72" t="s">
        <v>105</v>
      </c>
      <c r="AH731" s="72" t="s">
        <v>108</v>
      </c>
      <c r="AI731" s="72" t="s">
        <v>100</v>
      </c>
      <c r="AJ731" s="72" t="s">
        <v>101</v>
      </c>
      <c r="AK731" s="15" t="s">
        <v>102</v>
      </c>
    </row>
    <row r="732" spans="33:37" x14ac:dyDescent="0.4">
      <c r="AG732" s="72" t="s">
        <v>105</v>
      </c>
      <c r="AH732" s="72" t="s">
        <v>108</v>
      </c>
      <c r="AI732" s="72" t="s">
        <v>100</v>
      </c>
      <c r="AJ732" s="72" t="s">
        <v>100</v>
      </c>
      <c r="AK732" s="15" t="s">
        <v>102</v>
      </c>
    </row>
    <row r="733" spans="33:37" x14ac:dyDescent="0.4">
      <c r="AG733" s="72" t="s">
        <v>105</v>
      </c>
      <c r="AH733" s="72" t="s">
        <v>108</v>
      </c>
      <c r="AI733" s="72" t="s">
        <v>100</v>
      </c>
      <c r="AJ733" s="72" t="s">
        <v>108</v>
      </c>
      <c r="AK733" s="15" t="s">
        <v>102</v>
      </c>
    </row>
    <row r="734" spans="33:37" x14ac:dyDescent="0.4">
      <c r="AG734" s="72" t="s">
        <v>105</v>
      </c>
      <c r="AH734" s="72" t="s">
        <v>108</v>
      </c>
      <c r="AI734" s="72" t="s">
        <v>100</v>
      </c>
      <c r="AJ734" s="72" t="s">
        <v>105</v>
      </c>
      <c r="AK734" s="15" t="s">
        <v>102</v>
      </c>
    </row>
    <row r="735" spans="33:37" x14ac:dyDescent="0.4">
      <c r="AG735" s="72" t="s">
        <v>105</v>
      </c>
      <c r="AH735" s="72" t="s">
        <v>108</v>
      </c>
      <c r="AI735" s="72" t="s">
        <v>100</v>
      </c>
      <c r="AJ735" s="73" t="s">
        <v>112</v>
      </c>
      <c r="AK735" s="15" t="s">
        <v>102</v>
      </c>
    </row>
    <row r="736" spans="33:37" x14ac:dyDescent="0.4">
      <c r="AG736" s="72" t="s">
        <v>105</v>
      </c>
      <c r="AH736" s="72" t="s">
        <v>108</v>
      </c>
      <c r="AI736" s="72" t="s">
        <v>100</v>
      </c>
      <c r="AJ736" s="72" t="s">
        <v>98</v>
      </c>
      <c r="AK736" s="15" t="s">
        <v>102</v>
      </c>
    </row>
    <row r="737" spans="33:37" x14ac:dyDescent="0.4">
      <c r="AG737" s="72" t="s">
        <v>105</v>
      </c>
      <c r="AH737" s="72" t="s">
        <v>108</v>
      </c>
      <c r="AI737" s="72" t="s">
        <v>108</v>
      </c>
      <c r="AJ737" s="72" t="s">
        <v>101</v>
      </c>
      <c r="AK737" s="15" t="s">
        <v>102</v>
      </c>
    </row>
    <row r="738" spans="33:37" x14ac:dyDescent="0.4">
      <c r="AG738" s="72" t="s">
        <v>105</v>
      </c>
      <c r="AH738" s="72" t="s">
        <v>108</v>
      </c>
      <c r="AI738" s="72" t="s">
        <v>108</v>
      </c>
      <c r="AJ738" s="72" t="s">
        <v>100</v>
      </c>
      <c r="AK738" s="15" t="s">
        <v>102</v>
      </c>
    </row>
    <row r="739" spans="33:37" x14ac:dyDescent="0.4">
      <c r="AG739" s="72" t="s">
        <v>105</v>
      </c>
      <c r="AH739" s="72" t="s">
        <v>108</v>
      </c>
      <c r="AI739" s="72" t="s">
        <v>108</v>
      </c>
      <c r="AJ739" s="72" t="s">
        <v>108</v>
      </c>
      <c r="AK739" s="15" t="s">
        <v>102</v>
      </c>
    </row>
    <row r="740" spans="33:37" x14ac:dyDescent="0.4">
      <c r="AG740" s="72" t="s">
        <v>105</v>
      </c>
      <c r="AH740" s="72" t="s">
        <v>108</v>
      </c>
      <c r="AI740" s="72" t="s">
        <v>108</v>
      </c>
      <c r="AJ740" s="72" t="s">
        <v>105</v>
      </c>
      <c r="AK740" s="15" t="s">
        <v>102</v>
      </c>
    </row>
    <row r="741" spans="33:37" x14ac:dyDescent="0.4">
      <c r="AG741" s="72" t="s">
        <v>105</v>
      </c>
      <c r="AH741" s="72" t="s">
        <v>108</v>
      </c>
      <c r="AI741" s="72" t="s">
        <v>108</v>
      </c>
      <c r="AJ741" s="73" t="s">
        <v>112</v>
      </c>
      <c r="AK741" s="15" t="s">
        <v>102</v>
      </c>
    </row>
    <row r="742" spans="33:37" x14ac:dyDescent="0.4">
      <c r="AG742" s="72" t="s">
        <v>105</v>
      </c>
      <c r="AH742" s="72" t="s">
        <v>108</v>
      </c>
      <c r="AI742" s="72" t="s">
        <v>108</v>
      </c>
      <c r="AJ742" s="72" t="s">
        <v>98</v>
      </c>
      <c r="AK742" s="15" t="s">
        <v>102</v>
      </c>
    </row>
    <row r="743" spans="33:37" x14ac:dyDescent="0.4">
      <c r="AG743" s="72" t="s">
        <v>105</v>
      </c>
      <c r="AH743" s="72" t="s">
        <v>108</v>
      </c>
      <c r="AI743" s="72" t="s">
        <v>105</v>
      </c>
      <c r="AJ743" s="72" t="s">
        <v>101</v>
      </c>
      <c r="AK743" s="15" t="s">
        <v>102</v>
      </c>
    </row>
    <row r="744" spans="33:37" x14ac:dyDescent="0.4">
      <c r="AG744" s="72" t="s">
        <v>105</v>
      </c>
      <c r="AH744" s="72" t="s">
        <v>108</v>
      </c>
      <c r="AI744" s="72" t="s">
        <v>105</v>
      </c>
      <c r="AJ744" s="72" t="s">
        <v>100</v>
      </c>
      <c r="AK744" s="15" t="s">
        <v>102</v>
      </c>
    </row>
    <row r="745" spans="33:37" x14ac:dyDescent="0.4">
      <c r="AG745" s="72" t="s">
        <v>105</v>
      </c>
      <c r="AH745" s="72" t="s">
        <v>108</v>
      </c>
      <c r="AI745" s="72" t="s">
        <v>105</v>
      </c>
      <c r="AJ745" s="72" t="s">
        <v>108</v>
      </c>
      <c r="AK745" s="15" t="s">
        <v>102</v>
      </c>
    </row>
    <row r="746" spans="33:37" x14ac:dyDescent="0.4">
      <c r="AG746" s="72" t="s">
        <v>105</v>
      </c>
      <c r="AH746" s="72" t="s">
        <v>108</v>
      </c>
      <c r="AI746" s="72" t="s">
        <v>105</v>
      </c>
      <c r="AJ746" s="72" t="s">
        <v>105</v>
      </c>
      <c r="AK746" s="15" t="s">
        <v>133</v>
      </c>
    </row>
    <row r="747" spans="33:37" x14ac:dyDescent="0.4">
      <c r="AG747" s="72" t="s">
        <v>105</v>
      </c>
      <c r="AH747" s="72" t="s">
        <v>108</v>
      </c>
      <c r="AI747" s="72" t="s">
        <v>105</v>
      </c>
      <c r="AJ747" s="73" t="s">
        <v>112</v>
      </c>
      <c r="AK747" s="15" t="s">
        <v>133</v>
      </c>
    </row>
    <row r="748" spans="33:37" x14ac:dyDescent="0.4">
      <c r="AG748" s="72" t="s">
        <v>105</v>
      </c>
      <c r="AH748" s="72" t="s">
        <v>108</v>
      </c>
      <c r="AI748" s="72" t="s">
        <v>105</v>
      </c>
      <c r="AJ748" s="72" t="s">
        <v>98</v>
      </c>
      <c r="AK748" s="15" t="s">
        <v>133</v>
      </c>
    </row>
    <row r="749" spans="33:37" x14ac:dyDescent="0.4">
      <c r="AG749" s="72" t="s">
        <v>105</v>
      </c>
      <c r="AH749" s="72" t="s">
        <v>108</v>
      </c>
      <c r="AI749" s="73" t="s">
        <v>112</v>
      </c>
      <c r="AJ749" s="72" t="s">
        <v>101</v>
      </c>
      <c r="AK749" s="15" t="s">
        <v>102</v>
      </c>
    </row>
    <row r="750" spans="33:37" x14ac:dyDescent="0.4">
      <c r="AG750" s="72" t="s">
        <v>105</v>
      </c>
      <c r="AH750" s="72" t="s">
        <v>108</v>
      </c>
      <c r="AI750" s="73" t="s">
        <v>112</v>
      </c>
      <c r="AJ750" s="72" t="s">
        <v>100</v>
      </c>
      <c r="AK750" s="15" t="s">
        <v>102</v>
      </c>
    </row>
    <row r="751" spans="33:37" x14ac:dyDescent="0.4">
      <c r="AG751" s="72" t="s">
        <v>105</v>
      </c>
      <c r="AH751" s="72" t="s">
        <v>108</v>
      </c>
      <c r="AI751" s="73" t="s">
        <v>112</v>
      </c>
      <c r="AJ751" s="72" t="s">
        <v>108</v>
      </c>
      <c r="AK751" s="15" t="s">
        <v>102</v>
      </c>
    </row>
    <row r="752" spans="33:37" x14ac:dyDescent="0.4">
      <c r="AG752" s="72" t="s">
        <v>105</v>
      </c>
      <c r="AH752" s="72" t="s">
        <v>108</v>
      </c>
      <c r="AI752" s="73" t="s">
        <v>112</v>
      </c>
      <c r="AJ752" s="72" t="s">
        <v>105</v>
      </c>
      <c r="AK752" s="15" t="s">
        <v>133</v>
      </c>
    </row>
    <row r="753" spans="33:37" x14ac:dyDescent="0.4">
      <c r="AG753" s="72" t="s">
        <v>105</v>
      </c>
      <c r="AH753" s="72" t="s">
        <v>108</v>
      </c>
      <c r="AI753" s="73" t="s">
        <v>112</v>
      </c>
      <c r="AJ753" s="73" t="s">
        <v>112</v>
      </c>
      <c r="AK753" s="15" t="s">
        <v>133</v>
      </c>
    </row>
    <row r="754" spans="33:37" x14ac:dyDescent="0.4">
      <c r="AG754" s="72" t="s">
        <v>105</v>
      </c>
      <c r="AH754" s="72" t="s">
        <v>108</v>
      </c>
      <c r="AI754" s="73" t="s">
        <v>112</v>
      </c>
      <c r="AJ754" s="72" t="s">
        <v>98</v>
      </c>
      <c r="AK754" s="15" t="s">
        <v>133</v>
      </c>
    </row>
    <row r="755" spans="33:37" x14ac:dyDescent="0.4">
      <c r="AG755" s="72" t="s">
        <v>105</v>
      </c>
      <c r="AH755" s="72" t="s">
        <v>108</v>
      </c>
      <c r="AI755" s="72" t="s">
        <v>98</v>
      </c>
      <c r="AJ755" s="72" t="s">
        <v>101</v>
      </c>
      <c r="AK755" s="15" t="s">
        <v>102</v>
      </c>
    </row>
    <row r="756" spans="33:37" x14ac:dyDescent="0.4">
      <c r="AG756" s="72" t="s">
        <v>105</v>
      </c>
      <c r="AH756" s="72" t="s">
        <v>108</v>
      </c>
      <c r="AI756" s="72" t="s">
        <v>98</v>
      </c>
      <c r="AJ756" s="72" t="s">
        <v>100</v>
      </c>
      <c r="AK756" s="15" t="s">
        <v>102</v>
      </c>
    </row>
    <row r="757" spans="33:37" x14ac:dyDescent="0.4">
      <c r="AG757" s="72" t="s">
        <v>105</v>
      </c>
      <c r="AH757" s="72" t="s">
        <v>108</v>
      </c>
      <c r="AI757" s="72" t="s">
        <v>98</v>
      </c>
      <c r="AJ757" s="72" t="s">
        <v>108</v>
      </c>
      <c r="AK757" s="15" t="s">
        <v>102</v>
      </c>
    </row>
    <row r="758" spans="33:37" x14ac:dyDescent="0.4">
      <c r="AG758" s="72" t="s">
        <v>105</v>
      </c>
      <c r="AH758" s="72" t="s">
        <v>108</v>
      </c>
      <c r="AI758" s="72" t="s">
        <v>98</v>
      </c>
      <c r="AJ758" s="72" t="s">
        <v>105</v>
      </c>
      <c r="AK758" s="15" t="s">
        <v>133</v>
      </c>
    </row>
    <row r="759" spans="33:37" x14ac:dyDescent="0.4">
      <c r="AG759" s="72" t="s">
        <v>105</v>
      </c>
      <c r="AH759" s="72" t="s">
        <v>108</v>
      </c>
      <c r="AI759" s="72" t="s">
        <v>98</v>
      </c>
      <c r="AJ759" s="73" t="s">
        <v>112</v>
      </c>
      <c r="AK759" s="15" t="s">
        <v>133</v>
      </c>
    </row>
    <row r="760" spans="33:37" x14ac:dyDescent="0.4">
      <c r="AG760" s="72" t="s">
        <v>105</v>
      </c>
      <c r="AH760" s="72" t="s">
        <v>108</v>
      </c>
      <c r="AI760" s="72" t="s">
        <v>98</v>
      </c>
      <c r="AJ760" s="72" t="s">
        <v>98</v>
      </c>
      <c r="AK760" s="15" t="s">
        <v>133</v>
      </c>
    </row>
    <row r="761" spans="33:37" x14ac:dyDescent="0.4">
      <c r="AG761" s="72" t="s">
        <v>105</v>
      </c>
      <c r="AH761" s="72" t="s">
        <v>105</v>
      </c>
      <c r="AI761" s="72" t="s">
        <v>101</v>
      </c>
      <c r="AJ761" s="72" t="s">
        <v>101</v>
      </c>
      <c r="AK761" s="15" t="s">
        <v>102</v>
      </c>
    </row>
    <row r="762" spans="33:37" x14ac:dyDescent="0.4">
      <c r="AG762" s="72" t="s">
        <v>105</v>
      </c>
      <c r="AH762" s="72" t="s">
        <v>105</v>
      </c>
      <c r="AI762" s="72" t="s">
        <v>101</v>
      </c>
      <c r="AJ762" s="72" t="s">
        <v>100</v>
      </c>
      <c r="AK762" s="15" t="s">
        <v>102</v>
      </c>
    </row>
    <row r="763" spans="33:37" x14ac:dyDescent="0.4">
      <c r="AG763" s="72" t="s">
        <v>105</v>
      </c>
      <c r="AH763" s="72" t="s">
        <v>105</v>
      </c>
      <c r="AI763" s="72" t="s">
        <v>101</v>
      </c>
      <c r="AJ763" s="72" t="s">
        <v>108</v>
      </c>
      <c r="AK763" s="15" t="s">
        <v>102</v>
      </c>
    </row>
    <row r="764" spans="33:37" x14ac:dyDescent="0.4">
      <c r="AG764" s="72" t="s">
        <v>105</v>
      </c>
      <c r="AH764" s="72" t="s">
        <v>105</v>
      </c>
      <c r="AI764" s="72" t="s">
        <v>101</v>
      </c>
      <c r="AJ764" s="72" t="s">
        <v>105</v>
      </c>
      <c r="AK764" s="15" t="s">
        <v>102</v>
      </c>
    </row>
    <row r="765" spans="33:37" x14ac:dyDescent="0.4">
      <c r="AG765" s="72" t="s">
        <v>105</v>
      </c>
      <c r="AH765" s="72" t="s">
        <v>105</v>
      </c>
      <c r="AI765" s="72" t="s">
        <v>101</v>
      </c>
      <c r="AJ765" s="73" t="s">
        <v>112</v>
      </c>
      <c r="AK765" s="15" t="s">
        <v>102</v>
      </c>
    </row>
    <row r="766" spans="33:37" x14ac:dyDescent="0.4">
      <c r="AG766" s="72" t="s">
        <v>105</v>
      </c>
      <c r="AH766" s="72" t="s">
        <v>105</v>
      </c>
      <c r="AI766" s="72" t="s">
        <v>101</v>
      </c>
      <c r="AJ766" s="72" t="s">
        <v>98</v>
      </c>
      <c r="AK766" s="15" t="s">
        <v>102</v>
      </c>
    </row>
    <row r="767" spans="33:37" x14ac:dyDescent="0.4">
      <c r="AG767" s="72" t="s">
        <v>105</v>
      </c>
      <c r="AH767" s="72" t="s">
        <v>105</v>
      </c>
      <c r="AI767" s="72" t="s">
        <v>100</v>
      </c>
      <c r="AJ767" s="72" t="s">
        <v>101</v>
      </c>
      <c r="AK767" s="15" t="s">
        <v>102</v>
      </c>
    </row>
    <row r="768" spans="33:37" x14ac:dyDescent="0.4">
      <c r="AG768" s="72" t="s">
        <v>105</v>
      </c>
      <c r="AH768" s="72" t="s">
        <v>105</v>
      </c>
      <c r="AI768" s="72" t="s">
        <v>100</v>
      </c>
      <c r="AJ768" s="72" t="s">
        <v>100</v>
      </c>
      <c r="AK768" s="15" t="s">
        <v>102</v>
      </c>
    </row>
    <row r="769" spans="33:37" x14ac:dyDescent="0.4">
      <c r="AG769" s="72" t="s">
        <v>105</v>
      </c>
      <c r="AH769" s="72" t="s">
        <v>105</v>
      </c>
      <c r="AI769" s="72" t="s">
        <v>100</v>
      </c>
      <c r="AJ769" s="72" t="s">
        <v>108</v>
      </c>
      <c r="AK769" s="15" t="s">
        <v>102</v>
      </c>
    </row>
    <row r="770" spans="33:37" x14ac:dyDescent="0.4">
      <c r="AG770" s="72" t="s">
        <v>105</v>
      </c>
      <c r="AH770" s="72" t="s">
        <v>105</v>
      </c>
      <c r="AI770" s="72" t="s">
        <v>100</v>
      </c>
      <c r="AJ770" s="72" t="s">
        <v>105</v>
      </c>
      <c r="AK770" s="15" t="s">
        <v>102</v>
      </c>
    </row>
    <row r="771" spans="33:37" x14ac:dyDescent="0.4">
      <c r="AG771" s="72" t="s">
        <v>105</v>
      </c>
      <c r="AH771" s="72" t="s">
        <v>105</v>
      </c>
      <c r="AI771" s="72" t="s">
        <v>100</v>
      </c>
      <c r="AJ771" s="73" t="s">
        <v>112</v>
      </c>
      <c r="AK771" s="15" t="s">
        <v>102</v>
      </c>
    </row>
    <row r="772" spans="33:37" x14ac:dyDescent="0.4">
      <c r="AG772" s="72" t="s">
        <v>105</v>
      </c>
      <c r="AH772" s="72" t="s">
        <v>105</v>
      </c>
      <c r="AI772" s="72" t="s">
        <v>100</v>
      </c>
      <c r="AJ772" s="72" t="s">
        <v>98</v>
      </c>
      <c r="AK772" s="15" t="s">
        <v>102</v>
      </c>
    </row>
    <row r="773" spans="33:37" x14ac:dyDescent="0.4">
      <c r="AG773" s="72" t="s">
        <v>105</v>
      </c>
      <c r="AH773" s="72" t="s">
        <v>105</v>
      </c>
      <c r="AI773" s="72" t="s">
        <v>108</v>
      </c>
      <c r="AJ773" s="72" t="s">
        <v>101</v>
      </c>
      <c r="AK773" s="15" t="s">
        <v>102</v>
      </c>
    </row>
    <row r="774" spans="33:37" x14ac:dyDescent="0.4">
      <c r="AG774" s="72" t="s">
        <v>105</v>
      </c>
      <c r="AH774" s="72" t="s">
        <v>105</v>
      </c>
      <c r="AI774" s="72" t="s">
        <v>108</v>
      </c>
      <c r="AJ774" s="72" t="s">
        <v>100</v>
      </c>
      <c r="AK774" s="15" t="s">
        <v>102</v>
      </c>
    </row>
    <row r="775" spans="33:37" x14ac:dyDescent="0.4">
      <c r="AG775" s="72" t="s">
        <v>105</v>
      </c>
      <c r="AH775" s="72" t="s">
        <v>105</v>
      </c>
      <c r="AI775" s="72" t="s">
        <v>108</v>
      </c>
      <c r="AJ775" s="72" t="s">
        <v>108</v>
      </c>
      <c r="AK775" s="15" t="s">
        <v>102</v>
      </c>
    </row>
    <row r="776" spans="33:37" x14ac:dyDescent="0.4">
      <c r="AG776" s="72" t="s">
        <v>105</v>
      </c>
      <c r="AH776" s="72" t="s">
        <v>105</v>
      </c>
      <c r="AI776" s="72" t="s">
        <v>108</v>
      </c>
      <c r="AJ776" s="72" t="s">
        <v>105</v>
      </c>
      <c r="AK776" s="15" t="s">
        <v>102</v>
      </c>
    </row>
    <row r="777" spans="33:37" x14ac:dyDescent="0.4">
      <c r="AG777" s="72" t="s">
        <v>105</v>
      </c>
      <c r="AH777" s="72" t="s">
        <v>105</v>
      </c>
      <c r="AI777" s="72" t="s">
        <v>108</v>
      </c>
      <c r="AJ777" s="73" t="s">
        <v>112</v>
      </c>
      <c r="AK777" s="15" t="s">
        <v>102</v>
      </c>
    </row>
    <row r="778" spans="33:37" x14ac:dyDescent="0.4">
      <c r="AG778" s="72" t="s">
        <v>105</v>
      </c>
      <c r="AH778" s="72" t="s">
        <v>105</v>
      </c>
      <c r="AI778" s="72" t="s">
        <v>108</v>
      </c>
      <c r="AJ778" s="72" t="s">
        <v>98</v>
      </c>
      <c r="AK778" s="15" t="s">
        <v>102</v>
      </c>
    </row>
    <row r="779" spans="33:37" x14ac:dyDescent="0.4">
      <c r="AG779" s="72" t="s">
        <v>105</v>
      </c>
      <c r="AH779" s="72" t="s">
        <v>105</v>
      </c>
      <c r="AI779" s="72" t="s">
        <v>105</v>
      </c>
      <c r="AJ779" s="72" t="s">
        <v>101</v>
      </c>
      <c r="AK779" s="15" t="s">
        <v>102</v>
      </c>
    </row>
    <row r="780" spans="33:37" x14ac:dyDescent="0.4">
      <c r="AG780" s="72" t="s">
        <v>105</v>
      </c>
      <c r="AH780" s="72" t="s">
        <v>105</v>
      </c>
      <c r="AI780" s="72" t="s">
        <v>105</v>
      </c>
      <c r="AJ780" s="72" t="s">
        <v>100</v>
      </c>
      <c r="AK780" s="15" t="s">
        <v>102</v>
      </c>
    </row>
    <row r="781" spans="33:37" x14ac:dyDescent="0.4">
      <c r="AG781" s="72" t="s">
        <v>105</v>
      </c>
      <c r="AH781" s="72" t="s">
        <v>105</v>
      </c>
      <c r="AI781" s="72" t="s">
        <v>105</v>
      </c>
      <c r="AJ781" s="72" t="s">
        <v>108</v>
      </c>
      <c r="AK781" s="15" t="s">
        <v>102</v>
      </c>
    </row>
    <row r="782" spans="33:37" x14ac:dyDescent="0.4">
      <c r="AG782" s="72" t="s">
        <v>105</v>
      </c>
      <c r="AH782" s="72" t="s">
        <v>105</v>
      </c>
      <c r="AI782" s="72" t="s">
        <v>105</v>
      </c>
      <c r="AJ782" s="72" t="s">
        <v>105</v>
      </c>
      <c r="AK782" s="15" t="s">
        <v>133</v>
      </c>
    </row>
    <row r="783" spans="33:37" x14ac:dyDescent="0.4">
      <c r="AG783" s="72" t="s">
        <v>105</v>
      </c>
      <c r="AH783" s="72" t="s">
        <v>105</v>
      </c>
      <c r="AI783" s="72" t="s">
        <v>105</v>
      </c>
      <c r="AJ783" s="73" t="s">
        <v>112</v>
      </c>
      <c r="AK783" s="15" t="s">
        <v>133</v>
      </c>
    </row>
    <row r="784" spans="33:37" x14ac:dyDescent="0.4">
      <c r="AG784" s="72" t="s">
        <v>105</v>
      </c>
      <c r="AH784" s="72" t="s">
        <v>105</v>
      </c>
      <c r="AI784" s="72" t="s">
        <v>105</v>
      </c>
      <c r="AJ784" s="72" t="s">
        <v>98</v>
      </c>
      <c r="AK784" s="15" t="s">
        <v>133</v>
      </c>
    </row>
    <row r="785" spans="33:37" x14ac:dyDescent="0.4">
      <c r="AG785" s="72" t="s">
        <v>105</v>
      </c>
      <c r="AH785" s="72" t="s">
        <v>105</v>
      </c>
      <c r="AI785" s="73" t="s">
        <v>112</v>
      </c>
      <c r="AJ785" s="72" t="s">
        <v>101</v>
      </c>
      <c r="AK785" s="15" t="s">
        <v>102</v>
      </c>
    </row>
    <row r="786" spans="33:37" x14ac:dyDescent="0.4">
      <c r="AG786" s="72" t="s">
        <v>105</v>
      </c>
      <c r="AH786" s="72" t="s">
        <v>105</v>
      </c>
      <c r="AI786" s="73" t="s">
        <v>112</v>
      </c>
      <c r="AJ786" s="72" t="s">
        <v>100</v>
      </c>
      <c r="AK786" s="15" t="s">
        <v>102</v>
      </c>
    </row>
    <row r="787" spans="33:37" x14ac:dyDescent="0.4">
      <c r="AG787" s="72" t="s">
        <v>105</v>
      </c>
      <c r="AH787" s="72" t="s">
        <v>105</v>
      </c>
      <c r="AI787" s="73" t="s">
        <v>112</v>
      </c>
      <c r="AJ787" s="72" t="s">
        <v>108</v>
      </c>
      <c r="AK787" s="15" t="s">
        <v>102</v>
      </c>
    </row>
    <row r="788" spans="33:37" x14ac:dyDescent="0.4">
      <c r="AG788" s="72" t="s">
        <v>105</v>
      </c>
      <c r="AH788" s="72" t="s">
        <v>105</v>
      </c>
      <c r="AI788" s="73" t="s">
        <v>112</v>
      </c>
      <c r="AJ788" s="72" t="s">
        <v>105</v>
      </c>
      <c r="AK788" s="15" t="s">
        <v>133</v>
      </c>
    </row>
    <row r="789" spans="33:37" x14ac:dyDescent="0.4">
      <c r="AG789" s="72" t="s">
        <v>105</v>
      </c>
      <c r="AH789" s="72" t="s">
        <v>105</v>
      </c>
      <c r="AI789" s="73" t="s">
        <v>112</v>
      </c>
      <c r="AJ789" s="73" t="s">
        <v>112</v>
      </c>
      <c r="AK789" s="15" t="s">
        <v>133</v>
      </c>
    </row>
    <row r="790" spans="33:37" x14ac:dyDescent="0.4">
      <c r="AG790" s="72" t="s">
        <v>105</v>
      </c>
      <c r="AH790" s="72" t="s">
        <v>105</v>
      </c>
      <c r="AI790" s="73" t="s">
        <v>112</v>
      </c>
      <c r="AJ790" s="72" t="s">
        <v>98</v>
      </c>
      <c r="AK790" s="15" t="s">
        <v>133</v>
      </c>
    </row>
    <row r="791" spans="33:37" x14ac:dyDescent="0.4">
      <c r="AG791" s="72" t="s">
        <v>105</v>
      </c>
      <c r="AH791" s="72" t="s">
        <v>105</v>
      </c>
      <c r="AI791" s="72" t="s">
        <v>98</v>
      </c>
      <c r="AJ791" s="72" t="s">
        <v>101</v>
      </c>
      <c r="AK791" s="15" t="s">
        <v>102</v>
      </c>
    </row>
    <row r="792" spans="33:37" x14ac:dyDescent="0.4">
      <c r="AG792" s="72" t="s">
        <v>105</v>
      </c>
      <c r="AH792" s="72" t="s">
        <v>105</v>
      </c>
      <c r="AI792" s="72" t="s">
        <v>98</v>
      </c>
      <c r="AJ792" s="72" t="s">
        <v>100</v>
      </c>
      <c r="AK792" s="15" t="s">
        <v>102</v>
      </c>
    </row>
    <row r="793" spans="33:37" x14ac:dyDescent="0.4">
      <c r="AG793" s="72" t="s">
        <v>105</v>
      </c>
      <c r="AH793" s="72" t="s">
        <v>105</v>
      </c>
      <c r="AI793" s="72" t="s">
        <v>98</v>
      </c>
      <c r="AJ793" s="72" t="s">
        <v>108</v>
      </c>
      <c r="AK793" s="15" t="s">
        <v>102</v>
      </c>
    </row>
    <row r="794" spans="33:37" x14ac:dyDescent="0.4">
      <c r="AG794" s="72" t="s">
        <v>105</v>
      </c>
      <c r="AH794" s="72" t="s">
        <v>105</v>
      </c>
      <c r="AI794" s="72" t="s">
        <v>98</v>
      </c>
      <c r="AJ794" s="72" t="s">
        <v>105</v>
      </c>
      <c r="AK794" s="15" t="s">
        <v>133</v>
      </c>
    </row>
    <row r="795" spans="33:37" x14ac:dyDescent="0.4">
      <c r="AG795" s="72" t="s">
        <v>105</v>
      </c>
      <c r="AH795" s="72" t="s">
        <v>105</v>
      </c>
      <c r="AI795" s="72" t="s">
        <v>98</v>
      </c>
      <c r="AJ795" s="73" t="s">
        <v>112</v>
      </c>
      <c r="AK795" s="15" t="s">
        <v>133</v>
      </c>
    </row>
    <row r="796" spans="33:37" x14ac:dyDescent="0.4">
      <c r="AG796" s="72" t="s">
        <v>105</v>
      </c>
      <c r="AH796" s="72" t="s">
        <v>105</v>
      </c>
      <c r="AI796" s="72" t="s">
        <v>98</v>
      </c>
      <c r="AJ796" s="72" t="s">
        <v>98</v>
      </c>
      <c r="AK796" s="15" t="s">
        <v>133</v>
      </c>
    </row>
    <row r="797" spans="33:37" x14ac:dyDescent="0.4">
      <c r="AG797" s="72" t="s">
        <v>105</v>
      </c>
      <c r="AH797" s="73" t="s">
        <v>112</v>
      </c>
      <c r="AI797" s="72" t="s">
        <v>101</v>
      </c>
      <c r="AJ797" s="72" t="s">
        <v>101</v>
      </c>
      <c r="AK797" s="15" t="s">
        <v>102</v>
      </c>
    </row>
    <row r="798" spans="33:37" x14ac:dyDescent="0.4">
      <c r="AG798" s="72" t="s">
        <v>105</v>
      </c>
      <c r="AH798" s="73" t="s">
        <v>112</v>
      </c>
      <c r="AI798" s="72" t="s">
        <v>101</v>
      </c>
      <c r="AJ798" s="72" t="s">
        <v>100</v>
      </c>
      <c r="AK798" s="15" t="s">
        <v>102</v>
      </c>
    </row>
    <row r="799" spans="33:37" x14ac:dyDescent="0.4">
      <c r="AG799" s="72" t="s">
        <v>105</v>
      </c>
      <c r="AH799" s="73" t="s">
        <v>112</v>
      </c>
      <c r="AI799" s="72" t="s">
        <v>101</v>
      </c>
      <c r="AJ799" s="72" t="s">
        <v>108</v>
      </c>
      <c r="AK799" s="15" t="s">
        <v>102</v>
      </c>
    </row>
    <row r="800" spans="33:37" x14ac:dyDescent="0.4">
      <c r="AG800" s="72" t="s">
        <v>105</v>
      </c>
      <c r="AH800" s="73" t="s">
        <v>112</v>
      </c>
      <c r="AI800" s="72" t="s">
        <v>101</v>
      </c>
      <c r="AJ800" s="72" t="s">
        <v>105</v>
      </c>
      <c r="AK800" s="15" t="s">
        <v>102</v>
      </c>
    </row>
    <row r="801" spans="33:37" x14ac:dyDescent="0.4">
      <c r="AG801" s="72" t="s">
        <v>105</v>
      </c>
      <c r="AH801" s="73" t="s">
        <v>112</v>
      </c>
      <c r="AI801" s="72" t="s">
        <v>101</v>
      </c>
      <c r="AJ801" s="73" t="s">
        <v>112</v>
      </c>
      <c r="AK801" s="15" t="s">
        <v>102</v>
      </c>
    </row>
    <row r="802" spans="33:37" x14ac:dyDescent="0.4">
      <c r="AG802" s="72" t="s">
        <v>105</v>
      </c>
      <c r="AH802" s="73" t="s">
        <v>112</v>
      </c>
      <c r="AI802" s="72" t="s">
        <v>101</v>
      </c>
      <c r="AJ802" s="72" t="s">
        <v>98</v>
      </c>
      <c r="AK802" s="15" t="s">
        <v>102</v>
      </c>
    </row>
    <row r="803" spans="33:37" x14ac:dyDescent="0.4">
      <c r="AG803" s="72" t="s">
        <v>105</v>
      </c>
      <c r="AH803" s="73" t="s">
        <v>112</v>
      </c>
      <c r="AI803" s="72" t="s">
        <v>100</v>
      </c>
      <c r="AJ803" s="72" t="s">
        <v>101</v>
      </c>
      <c r="AK803" s="15" t="s">
        <v>102</v>
      </c>
    </row>
    <row r="804" spans="33:37" x14ac:dyDescent="0.4">
      <c r="AG804" s="72" t="s">
        <v>105</v>
      </c>
      <c r="AH804" s="73" t="s">
        <v>112</v>
      </c>
      <c r="AI804" s="72" t="s">
        <v>100</v>
      </c>
      <c r="AJ804" s="72" t="s">
        <v>100</v>
      </c>
      <c r="AK804" s="15" t="s">
        <v>102</v>
      </c>
    </row>
    <row r="805" spans="33:37" x14ac:dyDescent="0.4">
      <c r="AG805" s="72" t="s">
        <v>105</v>
      </c>
      <c r="AH805" s="73" t="s">
        <v>112</v>
      </c>
      <c r="AI805" s="72" t="s">
        <v>100</v>
      </c>
      <c r="AJ805" s="72" t="s">
        <v>108</v>
      </c>
      <c r="AK805" s="15" t="s">
        <v>102</v>
      </c>
    </row>
    <row r="806" spans="33:37" x14ac:dyDescent="0.4">
      <c r="AG806" s="72" t="s">
        <v>105</v>
      </c>
      <c r="AH806" s="73" t="s">
        <v>112</v>
      </c>
      <c r="AI806" s="72" t="s">
        <v>100</v>
      </c>
      <c r="AJ806" s="72" t="s">
        <v>105</v>
      </c>
      <c r="AK806" s="15" t="s">
        <v>102</v>
      </c>
    </row>
    <row r="807" spans="33:37" x14ac:dyDescent="0.4">
      <c r="AG807" s="72" t="s">
        <v>105</v>
      </c>
      <c r="AH807" s="73" t="s">
        <v>112</v>
      </c>
      <c r="AI807" s="72" t="s">
        <v>100</v>
      </c>
      <c r="AJ807" s="73" t="s">
        <v>112</v>
      </c>
      <c r="AK807" s="15" t="s">
        <v>102</v>
      </c>
    </row>
    <row r="808" spans="33:37" x14ac:dyDescent="0.4">
      <c r="AG808" s="72" t="s">
        <v>105</v>
      </c>
      <c r="AH808" s="73" t="s">
        <v>112</v>
      </c>
      <c r="AI808" s="72" t="s">
        <v>100</v>
      </c>
      <c r="AJ808" s="72" t="s">
        <v>98</v>
      </c>
      <c r="AK808" s="15" t="s">
        <v>102</v>
      </c>
    </row>
    <row r="809" spans="33:37" x14ac:dyDescent="0.4">
      <c r="AG809" s="72" t="s">
        <v>105</v>
      </c>
      <c r="AH809" s="73" t="s">
        <v>112</v>
      </c>
      <c r="AI809" s="72" t="s">
        <v>108</v>
      </c>
      <c r="AJ809" s="72" t="s">
        <v>101</v>
      </c>
      <c r="AK809" s="15" t="s">
        <v>102</v>
      </c>
    </row>
    <row r="810" spans="33:37" x14ac:dyDescent="0.4">
      <c r="AG810" s="72" t="s">
        <v>105</v>
      </c>
      <c r="AH810" s="73" t="s">
        <v>112</v>
      </c>
      <c r="AI810" s="72" t="s">
        <v>108</v>
      </c>
      <c r="AJ810" s="72" t="s">
        <v>100</v>
      </c>
      <c r="AK810" s="15" t="s">
        <v>102</v>
      </c>
    </row>
    <row r="811" spans="33:37" x14ac:dyDescent="0.4">
      <c r="AG811" s="72" t="s">
        <v>105</v>
      </c>
      <c r="AH811" s="73" t="s">
        <v>112</v>
      </c>
      <c r="AI811" s="72" t="s">
        <v>108</v>
      </c>
      <c r="AJ811" s="72" t="s">
        <v>108</v>
      </c>
      <c r="AK811" s="15" t="s">
        <v>102</v>
      </c>
    </row>
    <row r="812" spans="33:37" x14ac:dyDescent="0.4">
      <c r="AG812" s="72" t="s">
        <v>105</v>
      </c>
      <c r="AH812" s="73" t="s">
        <v>112</v>
      </c>
      <c r="AI812" s="72" t="s">
        <v>108</v>
      </c>
      <c r="AJ812" s="72" t="s">
        <v>105</v>
      </c>
      <c r="AK812" s="15" t="s">
        <v>102</v>
      </c>
    </row>
    <row r="813" spans="33:37" x14ac:dyDescent="0.4">
      <c r="AG813" s="72" t="s">
        <v>105</v>
      </c>
      <c r="AH813" s="73" t="s">
        <v>112</v>
      </c>
      <c r="AI813" s="72" t="s">
        <v>108</v>
      </c>
      <c r="AJ813" s="73" t="s">
        <v>112</v>
      </c>
      <c r="AK813" s="15" t="s">
        <v>102</v>
      </c>
    </row>
    <row r="814" spans="33:37" x14ac:dyDescent="0.4">
      <c r="AG814" s="72" t="s">
        <v>105</v>
      </c>
      <c r="AH814" s="73" t="s">
        <v>112</v>
      </c>
      <c r="AI814" s="72" t="s">
        <v>108</v>
      </c>
      <c r="AJ814" s="72" t="s">
        <v>98</v>
      </c>
      <c r="AK814" s="15" t="s">
        <v>102</v>
      </c>
    </row>
    <row r="815" spans="33:37" x14ac:dyDescent="0.4">
      <c r="AG815" s="72" t="s">
        <v>105</v>
      </c>
      <c r="AH815" s="73" t="s">
        <v>112</v>
      </c>
      <c r="AI815" s="72" t="s">
        <v>105</v>
      </c>
      <c r="AJ815" s="72" t="s">
        <v>101</v>
      </c>
      <c r="AK815" s="15" t="s">
        <v>102</v>
      </c>
    </row>
    <row r="816" spans="33:37" x14ac:dyDescent="0.4">
      <c r="AG816" s="72" t="s">
        <v>105</v>
      </c>
      <c r="AH816" s="73" t="s">
        <v>112</v>
      </c>
      <c r="AI816" s="72" t="s">
        <v>105</v>
      </c>
      <c r="AJ816" s="72" t="s">
        <v>100</v>
      </c>
      <c r="AK816" s="15" t="s">
        <v>102</v>
      </c>
    </row>
    <row r="817" spans="33:37" x14ac:dyDescent="0.4">
      <c r="AG817" s="72" t="s">
        <v>105</v>
      </c>
      <c r="AH817" s="73" t="s">
        <v>112</v>
      </c>
      <c r="AI817" s="72" t="s">
        <v>105</v>
      </c>
      <c r="AJ817" s="72" t="s">
        <v>108</v>
      </c>
      <c r="AK817" s="15" t="s">
        <v>102</v>
      </c>
    </row>
    <row r="818" spans="33:37" x14ac:dyDescent="0.4">
      <c r="AG818" s="72" t="s">
        <v>105</v>
      </c>
      <c r="AH818" s="73" t="s">
        <v>112</v>
      </c>
      <c r="AI818" s="72" t="s">
        <v>105</v>
      </c>
      <c r="AJ818" s="72" t="s">
        <v>105</v>
      </c>
      <c r="AK818" s="15" t="s">
        <v>133</v>
      </c>
    </row>
    <row r="819" spans="33:37" x14ac:dyDescent="0.4">
      <c r="AG819" s="72" t="s">
        <v>105</v>
      </c>
      <c r="AH819" s="73" t="s">
        <v>112</v>
      </c>
      <c r="AI819" s="72" t="s">
        <v>105</v>
      </c>
      <c r="AJ819" s="73" t="s">
        <v>112</v>
      </c>
      <c r="AK819" s="15" t="s">
        <v>133</v>
      </c>
    </row>
    <row r="820" spans="33:37" x14ac:dyDescent="0.4">
      <c r="AG820" s="72" t="s">
        <v>105</v>
      </c>
      <c r="AH820" s="73" t="s">
        <v>112</v>
      </c>
      <c r="AI820" s="72" t="s">
        <v>105</v>
      </c>
      <c r="AJ820" s="72" t="s">
        <v>98</v>
      </c>
      <c r="AK820" s="15" t="s">
        <v>133</v>
      </c>
    </row>
    <row r="821" spans="33:37" x14ac:dyDescent="0.4">
      <c r="AG821" s="72" t="s">
        <v>105</v>
      </c>
      <c r="AH821" s="73" t="s">
        <v>112</v>
      </c>
      <c r="AI821" s="73" t="s">
        <v>112</v>
      </c>
      <c r="AJ821" s="72" t="s">
        <v>101</v>
      </c>
      <c r="AK821" s="15" t="s">
        <v>102</v>
      </c>
    </row>
    <row r="822" spans="33:37" x14ac:dyDescent="0.4">
      <c r="AG822" s="72" t="s">
        <v>105</v>
      </c>
      <c r="AH822" s="73" t="s">
        <v>112</v>
      </c>
      <c r="AI822" s="73" t="s">
        <v>112</v>
      </c>
      <c r="AJ822" s="72" t="s">
        <v>100</v>
      </c>
      <c r="AK822" s="15" t="s">
        <v>102</v>
      </c>
    </row>
    <row r="823" spans="33:37" x14ac:dyDescent="0.4">
      <c r="AG823" s="72" t="s">
        <v>105</v>
      </c>
      <c r="AH823" s="73" t="s">
        <v>112</v>
      </c>
      <c r="AI823" s="73" t="s">
        <v>112</v>
      </c>
      <c r="AJ823" s="72" t="s">
        <v>108</v>
      </c>
      <c r="AK823" s="15" t="s">
        <v>102</v>
      </c>
    </row>
    <row r="824" spans="33:37" x14ac:dyDescent="0.4">
      <c r="AG824" s="72" t="s">
        <v>105</v>
      </c>
      <c r="AH824" s="73" t="s">
        <v>112</v>
      </c>
      <c r="AI824" s="73" t="s">
        <v>112</v>
      </c>
      <c r="AJ824" s="72" t="s">
        <v>105</v>
      </c>
      <c r="AK824" s="15" t="s">
        <v>133</v>
      </c>
    </row>
    <row r="825" spans="33:37" x14ac:dyDescent="0.4">
      <c r="AG825" s="72" t="s">
        <v>105</v>
      </c>
      <c r="AH825" s="73" t="s">
        <v>112</v>
      </c>
      <c r="AI825" s="73" t="s">
        <v>112</v>
      </c>
      <c r="AJ825" s="73" t="s">
        <v>112</v>
      </c>
      <c r="AK825" s="15" t="s">
        <v>133</v>
      </c>
    </row>
    <row r="826" spans="33:37" x14ac:dyDescent="0.4">
      <c r="AG826" s="72" t="s">
        <v>105</v>
      </c>
      <c r="AH826" s="73" t="s">
        <v>112</v>
      </c>
      <c r="AI826" s="73" t="s">
        <v>112</v>
      </c>
      <c r="AJ826" s="72" t="s">
        <v>98</v>
      </c>
      <c r="AK826" s="15" t="s">
        <v>133</v>
      </c>
    </row>
    <row r="827" spans="33:37" x14ac:dyDescent="0.4">
      <c r="AG827" s="72" t="s">
        <v>105</v>
      </c>
      <c r="AH827" s="73" t="s">
        <v>112</v>
      </c>
      <c r="AI827" s="72" t="s">
        <v>98</v>
      </c>
      <c r="AJ827" s="72" t="s">
        <v>101</v>
      </c>
      <c r="AK827" s="15" t="s">
        <v>102</v>
      </c>
    </row>
    <row r="828" spans="33:37" x14ac:dyDescent="0.4">
      <c r="AG828" s="72" t="s">
        <v>105</v>
      </c>
      <c r="AH828" s="73" t="s">
        <v>112</v>
      </c>
      <c r="AI828" s="72" t="s">
        <v>98</v>
      </c>
      <c r="AJ828" s="72" t="s">
        <v>100</v>
      </c>
      <c r="AK828" s="15" t="s">
        <v>102</v>
      </c>
    </row>
    <row r="829" spans="33:37" x14ac:dyDescent="0.4">
      <c r="AG829" s="72" t="s">
        <v>105</v>
      </c>
      <c r="AH829" s="73" t="s">
        <v>112</v>
      </c>
      <c r="AI829" s="72" t="s">
        <v>98</v>
      </c>
      <c r="AJ829" s="72" t="s">
        <v>108</v>
      </c>
      <c r="AK829" s="15" t="s">
        <v>102</v>
      </c>
    </row>
    <row r="830" spans="33:37" x14ac:dyDescent="0.4">
      <c r="AG830" s="72" t="s">
        <v>105</v>
      </c>
      <c r="AH830" s="73" t="s">
        <v>112</v>
      </c>
      <c r="AI830" s="72" t="s">
        <v>98</v>
      </c>
      <c r="AJ830" s="72" t="s">
        <v>105</v>
      </c>
      <c r="AK830" s="15" t="s">
        <v>133</v>
      </c>
    </row>
    <row r="831" spans="33:37" x14ac:dyDescent="0.4">
      <c r="AG831" s="72" t="s">
        <v>105</v>
      </c>
      <c r="AH831" s="73" t="s">
        <v>112</v>
      </c>
      <c r="AI831" s="72" t="s">
        <v>98</v>
      </c>
      <c r="AJ831" s="73" t="s">
        <v>112</v>
      </c>
      <c r="AK831" s="15" t="s">
        <v>133</v>
      </c>
    </row>
    <row r="832" spans="33:37" x14ac:dyDescent="0.4">
      <c r="AG832" s="72" t="s">
        <v>105</v>
      </c>
      <c r="AH832" s="73" t="s">
        <v>112</v>
      </c>
      <c r="AI832" s="72" t="s">
        <v>98</v>
      </c>
      <c r="AJ832" s="72" t="s">
        <v>98</v>
      </c>
      <c r="AK832" s="15" t="s">
        <v>133</v>
      </c>
    </row>
    <row r="833" spans="33:37" x14ac:dyDescent="0.4">
      <c r="AG833" s="72" t="s">
        <v>105</v>
      </c>
      <c r="AH833" s="72" t="s">
        <v>98</v>
      </c>
      <c r="AI833" s="72" t="s">
        <v>101</v>
      </c>
      <c r="AJ833" s="72" t="s">
        <v>101</v>
      </c>
      <c r="AK833" s="15" t="s">
        <v>102</v>
      </c>
    </row>
    <row r="834" spans="33:37" x14ac:dyDescent="0.4">
      <c r="AG834" s="72" t="s">
        <v>105</v>
      </c>
      <c r="AH834" s="72" t="s">
        <v>98</v>
      </c>
      <c r="AI834" s="72" t="s">
        <v>101</v>
      </c>
      <c r="AJ834" s="72" t="s">
        <v>100</v>
      </c>
      <c r="AK834" s="15" t="s">
        <v>102</v>
      </c>
    </row>
    <row r="835" spans="33:37" x14ac:dyDescent="0.4">
      <c r="AG835" s="72" t="s">
        <v>105</v>
      </c>
      <c r="AH835" s="72" t="s">
        <v>98</v>
      </c>
      <c r="AI835" s="72" t="s">
        <v>101</v>
      </c>
      <c r="AJ835" s="72" t="s">
        <v>108</v>
      </c>
      <c r="AK835" s="15" t="s">
        <v>102</v>
      </c>
    </row>
    <row r="836" spans="33:37" x14ac:dyDescent="0.4">
      <c r="AG836" s="72" t="s">
        <v>105</v>
      </c>
      <c r="AH836" s="72" t="s">
        <v>98</v>
      </c>
      <c r="AI836" s="72" t="s">
        <v>101</v>
      </c>
      <c r="AJ836" s="72" t="s">
        <v>105</v>
      </c>
      <c r="AK836" s="15" t="s">
        <v>102</v>
      </c>
    </row>
    <row r="837" spans="33:37" x14ac:dyDescent="0.4">
      <c r="AG837" s="72" t="s">
        <v>105</v>
      </c>
      <c r="AH837" s="72" t="s">
        <v>98</v>
      </c>
      <c r="AI837" s="72" t="s">
        <v>101</v>
      </c>
      <c r="AJ837" s="73" t="s">
        <v>112</v>
      </c>
      <c r="AK837" s="15" t="s">
        <v>102</v>
      </c>
    </row>
    <row r="838" spans="33:37" x14ac:dyDescent="0.4">
      <c r="AG838" s="72" t="s">
        <v>105</v>
      </c>
      <c r="AH838" s="72" t="s">
        <v>98</v>
      </c>
      <c r="AI838" s="72" t="s">
        <v>101</v>
      </c>
      <c r="AJ838" s="72" t="s">
        <v>98</v>
      </c>
      <c r="AK838" s="15" t="s">
        <v>102</v>
      </c>
    </row>
    <row r="839" spans="33:37" x14ac:dyDescent="0.4">
      <c r="AG839" s="72" t="s">
        <v>105</v>
      </c>
      <c r="AH839" s="72" t="s">
        <v>98</v>
      </c>
      <c r="AI839" s="72" t="s">
        <v>100</v>
      </c>
      <c r="AJ839" s="72" t="s">
        <v>101</v>
      </c>
      <c r="AK839" s="15" t="s">
        <v>102</v>
      </c>
    </row>
    <row r="840" spans="33:37" x14ac:dyDescent="0.4">
      <c r="AG840" s="72" t="s">
        <v>105</v>
      </c>
      <c r="AH840" s="72" t="s">
        <v>98</v>
      </c>
      <c r="AI840" s="72" t="s">
        <v>100</v>
      </c>
      <c r="AJ840" s="72" t="s">
        <v>100</v>
      </c>
      <c r="AK840" s="15" t="s">
        <v>102</v>
      </c>
    </row>
    <row r="841" spans="33:37" x14ac:dyDescent="0.4">
      <c r="AG841" s="72" t="s">
        <v>105</v>
      </c>
      <c r="AH841" s="72" t="s">
        <v>98</v>
      </c>
      <c r="AI841" s="72" t="s">
        <v>100</v>
      </c>
      <c r="AJ841" s="72" t="s">
        <v>108</v>
      </c>
      <c r="AK841" s="15" t="s">
        <v>102</v>
      </c>
    </row>
    <row r="842" spans="33:37" x14ac:dyDescent="0.4">
      <c r="AG842" s="72" t="s">
        <v>105</v>
      </c>
      <c r="AH842" s="72" t="s">
        <v>98</v>
      </c>
      <c r="AI842" s="72" t="s">
        <v>100</v>
      </c>
      <c r="AJ842" s="72" t="s">
        <v>105</v>
      </c>
      <c r="AK842" s="15" t="s">
        <v>102</v>
      </c>
    </row>
    <row r="843" spans="33:37" x14ac:dyDescent="0.4">
      <c r="AG843" s="72" t="s">
        <v>105</v>
      </c>
      <c r="AH843" s="72" t="s">
        <v>98</v>
      </c>
      <c r="AI843" s="72" t="s">
        <v>100</v>
      </c>
      <c r="AJ843" s="73" t="s">
        <v>112</v>
      </c>
      <c r="AK843" s="15" t="s">
        <v>102</v>
      </c>
    </row>
    <row r="844" spans="33:37" x14ac:dyDescent="0.4">
      <c r="AG844" s="72" t="s">
        <v>105</v>
      </c>
      <c r="AH844" s="72" t="s">
        <v>98</v>
      </c>
      <c r="AI844" s="72" t="s">
        <v>100</v>
      </c>
      <c r="AJ844" s="72" t="s">
        <v>98</v>
      </c>
      <c r="AK844" s="15" t="s">
        <v>102</v>
      </c>
    </row>
    <row r="845" spans="33:37" x14ac:dyDescent="0.4">
      <c r="AG845" s="72" t="s">
        <v>105</v>
      </c>
      <c r="AH845" s="72" t="s">
        <v>98</v>
      </c>
      <c r="AI845" s="72" t="s">
        <v>108</v>
      </c>
      <c r="AJ845" s="72" t="s">
        <v>101</v>
      </c>
      <c r="AK845" s="15" t="s">
        <v>102</v>
      </c>
    </row>
    <row r="846" spans="33:37" x14ac:dyDescent="0.4">
      <c r="AG846" s="72" t="s">
        <v>105</v>
      </c>
      <c r="AH846" s="72" t="s">
        <v>98</v>
      </c>
      <c r="AI846" s="72" t="s">
        <v>108</v>
      </c>
      <c r="AJ846" s="72" t="s">
        <v>100</v>
      </c>
      <c r="AK846" s="15" t="s">
        <v>102</v>
      </c>
    </row>
    <row r="847" spans="33:37" x14ac:dyDescent="0.4">
      <c r="AG847" s="72" t="s">
        <v>105</v>
      </c>
      <c r="AH847" s="72" t="s">
        <v>98</v>
      </c>
      <c r="AI847" s="72" t="s">
        <v>108</v>
      </c>
      <c r="AJ847" s="72" t="s">
        <v>108</v>
      </c>
      <c r="AK847" s="15" t="s">
        <v>102</v>
      </c>
    </row>
    <row r="848" spans="33:37" x14ac:dyDescent="0.4">
      <c r="AG848" s="72" t="s">
        <v>105</v>
      </c>
      <c r="AH848" s="72" t="s">
        <v>98</v>
      </c>
      <c r="AI848" s="72" t="s">
        <v>108</v>
      </c>
      <c r="AJ848" s="72" t="s">
        <v>105</v>
      </c>
      <c r="AK848" s="15" t="s">
        <v>102</v>
      </c>
    </row>
    <row r="849" spans="33:37" x14ac:dyDescent="0.4">
      <c r="AG849" s="72" t="s">
        <v>105</v>
      </c>
      <c r="AH849" s="72" t="s">
        <v>98</v>
      </c>
      <c r="AI849" s="72" t="s">
        <v>108</v>
      </c>
      <c r="AJ849" s="73" t="s">
        <v>112</v>
      </c>
      <c r="AK849" s="15" t="s">
        <v>102</v>
      </c>
    </row>
    <row r="850" spans="33:37" x14ac:dyDescent="0.4">
      <c r="AG850" s="72" t="s">
        <v>105</v>
      </c>
      <c r="AH850" s="72" t="s">
        <v>98</v>
      </c>
      <c r="AI850" s="72" t="s">
        <v>108</v>
      </c>
      <c r="AJ850" s="72" t="s">
        <v>98</v>
      </c>
      <c r="AK850" s="15" t="s">
        <v>102</v>
      </c>
    </row>
    <row r="851" spans="33:37" x14ac:dyDescent="0.4">
      <c r="AG851" s="72" t="s">
        <v>105</v>
      </c>
      <c r="AH851" s="72" t="s">
        <v>98</v>
      </c>
      <c r="AI851" s="72" t="s">
        <v>105</v>
      </c>
      <c r="AJ851" s="72" t="s">
        <v>101</v>
      </c>
      <c r="AK851" s="15" t="s">
        <v>102</v>
      </c>
    </row>
    <row r="852" spans="33:37" x14ac:dyDescent="0.4">
      <c r="AG852" s="72" t="s">
        <v>105</v>
      </c>
      <c r="AH852" s="72" t="s">
        <v>98</v>
      </c>
      <c r="AI852" s="72" t="s">
        <v>105</v>
      </c>
      <c r="AJ852" s="72" t="s">
        <v>100</v>
      </c>
      <c r="AK852" s="15" t="s">
        <v>102</v>
      </c>
    </row>
    <row r="853" spans="33:37" x14ac:dyDescent="0.4">
      <c r="AG853" s="72" t="s">
        <v>105</v>
      </c>
      <c r="AH853" s="72" t="s">
        <v>98</v>
      </c>
      <c r="AI853" s="72" t="s">
        <v>105</v>
      </c>
      <c r="AJ853" s="72" t="s">
        <v>108</v>
      </c>
      <c r="AK853" s="15" t="s">
        <v>102</v>
      </c>
    </row>
    <row r="854" spans="33:37" x14ac:dyDescent="0.4">
      <c r="AG854" s="72" t="s">
        <v>105</v>
      </c>
      <c r="AH854" s="72" t="s">
        <v>98</v>
      </c>
      <c r="AI854" s="72" t="s">
        <v>105</v>
      </c>
      <c r="AJ854" s="72" t="s">
        <v>105</v>
      </c>
      <c r="AK854" s="15" t="s">
        <v>133</v>
      </c>
    </row>
    <row r="855" spans="33:37" x14ac:dyDescent="0.4">
      <c r="AG855" s="72" t="s">
        <v>105</v>
      </c>
      <c r="AH855" s="72" t="s">
        <v>98</v>
      </c>
      <c r="AI855" s="72" t="s">
        <v>105</v>
      </c>
      <c r="AJ855" s="73" t="s">
        <v>112</v>
      </c>
      <c r="AK855" s="15" t="s">
        <v>133</v>
      </c>
    </row>
    <row r="856" spans="33:37" x14ac:dyDescent="0.4">
      <c r="AG856" s="72" t="s">
        <v>105</v>
      </c>
      <c r="AH856" s="72" t="s">
        <v>98</v>
      </c>
      <c r="AI856" s="72" t="s">
        <v>105</v>
      </c>
      <c r="AJ856" s="72" t="s">
        <v>98</v>
      </c>
      <c r="AK856" s="15" t="s">
        <v>133</v>
      </c>
    </row>
    <row r="857" spans="33:37" x14ac:dyDescent="0.4">
      <c r="AG857" s="72" t="s">
        <v>105</v>
      </c>
      <c r="AH857" s="72" t="s">
        <v>98</v>
      </c>
      <c r="AI857" s="73" t="s">
        <v>112</v>
      </c>
      <c r="AJ857" s="72" t="s">
        <v>101</v>
      </c>
      <c r="AK857" s="15" t="s">
        <v>102</v>
      </c>
    </row>
    <row r="858" spans="33:37" x14ac:dyDescent="0.4">
      <c r="AG858" s="72" t="s">
        <v>105</v>
      </c>
      <c r="AH858" s="72" t="s">
        <v>98</v>
      </c>
      <c r="AI858" s="73" t="s">
        <v>112</v>
      </c>
      <c r="AJ858" s="72" t="s">
        <v>100</v>
      </c>
      <c r="AK858" s="15" t="s">
        <v>102</v>
      </c>
    </row>
    <row r="859" spans="33:37" x14ac:dyDescent="0.4">
      <c r="AG859" s="72" t="s">
        <v>105</v>
      </c>
      <c r="AH859" s="72" t="s">
        <v>98</v>
      </c>
      <c r="AI859" s="73" t="s">
        <v>112</v>
      </c>
      <c r="AJ859" s="72" t="s">
        <v>108</v>
      </c>
      <c r="AK859" s="15" t="s">
        <v>102</v>
      </c>
    </row>
    <row r="860" spans="33:37" x14ac:dyDescent="0.4">
      <c r="AG860" s="72" t="s">
        <v>105</v>
      </c>
      <c r="AH860" s="72" t="s">
        <v>98</v>
      </c>
      <c r="AI860" s="73" t="s">
        <v>112</v>
      </c>
      <c r="AJ860" s="72" t="s">
        <v>105</v>
      </c>
      <c r="AK860" s="15" t="s">
        <v>133</v>
      </c>
    </row>
    <row r="861" spans="33:37" x14ac:dyDescent="0.4">
      <c r="AG861" s="72" t="s">
        <v>105</v>
      </c>
      <c r="AH861" s="72" t="s">
        <v>98</v>
      </c>
      <c r="AI861" s="73" t="s">
        <v>112</v>
      </c>
      <c r="AJ861" s="73" t="s">
        <v>112</v>
      </c>
      <c r="AK861" s="15" t="s">
        <v>133</v>
      </c>
    </row>
    <row r="862" spans="33:37" x14ac:dyDescent="0.4">
      <c r="AG862" s="72" t="s">
        <v>105</v>
      </c>
      <c r="AH862" s="72" t="s">
        <v>98</v>
      </c>
      <c r="AI862" s="73" t="s">
        <v>112</v>
      </c>
      <c r="AJ862" s="72" t="s">
        <v>98</v>
      </c>
      <c r="AK862" s="15" t="s">
        <v>133</v>
      </c>
    </row>
    <row r="863" spans="33:37" x14ac:dyDescent="0.4">
      <c r="AG863" s="72" t="s">
        <v>105</v>
      </c>
      <c r="AH863" s="72" t="s">
        <v>98</v>
      </c>
      <c r="AI863" s="72" t="s">
        <v>98</v>
      </c>
      <c r="AJ863" s="72" t="s">
        <v>101</v>
      </c>
      <c r="AK863" s="15" t="s">
        <v>102</v>
      </c>
    </row>
    <row r="864" spans="33:37" x14ac:dyDescent="0.4">
      <c r="AG864" s="72" t="s">
        <v>105</v>
      </c>
      <c r="AH864" s="72" t="s">
        <v>98</v>
      </c>
      <c r="AI864" s="72" t="s">
        <v>98</v>
      </c>
      <c r="AJ864" s="72" t="s">
        <v>100</v>
      </c>
      <c r="AK864" s="15" t="s">
        <v>102</v>
      </c>
    </row>
    <row r="865" spans="33:37" x14ac:dyDescent="0.4">
      <c r="AG865" s="72" t="s">
        <v>105</v>
      </c>
      <c r="AH865" s="72" t="s">
        <v>98</v>
      </c>
      <c r="AI865" s="72" t="s">
        <v>98</v>
      </c>
      <c r="AJ865" s="72" t="s">
        <v>108</v>
      </c>
      <c r="AK865" s="15" t="s">
        <v>102</v>
      </c>
    </row>
    <row r="866" spans="33:37" x14ac:dyDescent="0.4">
      <c r="AG866" s="72" t="s">
        <v>105</v>
      </c>
      <c r="AH866" s="72" t="s">
        <v>98</v>
      </c>
      <c r="AI866" s="72" t="s">
        <v>98</v>
      </c>
      <c r="AJ866" s="72" t="s">
        <v>105</v>
      </c>
      <c r="AK866" s="15" t="s">
        <v>133</v>
      </c>
    </row>
    <row r="867" spans="33:37" x14ac:dyDescent="0.4">
      <c r="AG867" s="72" t="s">
        <v>105</v>
      </c>
      <c r="AH867" s="72" t="s">
        <v>98</v>
      </c>
      <c r="AI867" s="72" t="s">
        <v>98</v>
      </c>
      <c r="AJ867" s="73" t="s">
        <v>112</v>
      </c>
      <c r="AK867" s="15" t="s">
        <v>133</v>
      </c>
    </row>
    <row r="868" spans="33:37" x14ac:dyDescent="0.4">
      <c r="AG868" s="72" t="s">
        <v>105</v>
      </c>
      <c r="AH868" s="72" t="s">
        <v>98</v>
      </c>
      <c r="AI868" s="72" t="s">
        <v>98</v>
      </c>
      <c r="AJ868" s="72" t="s">
        <v>98</v>
      </c>
      <c r="AK868" s="15" t="s">
        <v>133</v>
      </c>
    </row>
    <row r="869" spans="33:37" x14ac:dyDescent="0.4">
      <c r="AG869" s="57" t="s">
        <v>112</v>
      </c>
      <c r="AH869" s="15" t="s">
        <v>101</v>
      </c>
      <c r="AI869" s="15" t="s">
        <v>101</v>
      </c>
      <c r="AJ869" s="15" t="s">
        <v>101</v>
      </c>
      <c r="AK869" s="15" t="s">
        <v>102</v>
      </c>
    </row>
    <row r="870" spans="33:37" x14ac:dyDescent="0.4">
      <c r="AG870" s="57" t="s">
        <v>112</v>
      </c>
      <c r="AH870" s="15" t="s">
        <v>101</v>
      </c>
      <c r="AI870" s="15" t="s">
        <v>101</v>
      </c>
      <c r="AJ870" s="15" t="s">
        <v>100</v>
      </c>
      <c r="AK870" s="15" t="s">
        <v>102</v>
      </c>
    </row>
    <row r="871" spans="33:37" x14ac:dyDescent="0.4">
      <c r="AG871" s="57" t="s">
        <v>112</v>
      </c>
      <c r="AH871" s="15" t="s">
        <v>101</v>
      </c>
      <c r="AI871" s="15" t="s">
        <v>101</v>
      </c>
      <c r="AJ871" s="15" t="s">
        <v>108</v>
      </c>
      <c r="AK871" s="15" t="s">
        <v>102</v>
      </c>
    </row>
    <row r="872" spans="33:37" x14ac:dyDescent="0.4">
      <c r="AG872" s="57" t="s">
        <v>112</v>
      </c>
      <c r="AH872" s="15" t="s">
        <v>101</v>
      </c>
      <c r="AI872" s="15" t="s">
        <v>101</v>
      </c>
      <c r="AJ872" s="15" t="s">
        <v>105</v>
      </c>
      <c r="AK872" s="15" t="s">
        <v>102</v>
      </c>
    </row>
    <row r="873" spans="33:37" x14ac:dyDescent="0.4">
      <c r="AG873" s="57" t="s">
        <v>112</v>
      </c>
      <c r="AH873" s="15" t="s">
        <v>101</v>
      </c>
      <c r="AI873" s="15" t="s">
        <v>101</v>
      </c>
      <c r="AJ873" s="57" t="s">
        <v>112</v>
      </c>
      <c r="AK873" s="15" t="s">
        <v>102</v>
      </c>
    </row>
    <row r="874" spans="33:37" x14ac:dyDescent="0.4">
      <c r="AG874" s="57" t="s">
        <v>112</v>
      </c>
      <c r="AH874" s="15" t="s">
        <v>101</v>
      </c>
      <c r="AI874" s="15" t="s">
        <v>101</v>
      </c>
      <c r="AJ874" s="15" t="s">
        <v>98</v>
      </c>
      <c r="AK874" s="15" t="s">
        <v>102</v>
      </c>
    </row>
    <row r="875" spans="33:37" x14ac:dyDescent="0.4">
      <c r="AG875" s="57" t="s">
        <v>112</v>
      </c>
      <c r="AH875" s="15" t="s">
        <v>101</v>
      </c>
      <c r="AI875" s="15" t="s">
        <v>100</v>
      </c>
      <c r="AJ875" s="15" t="s">
        <v>101</v>
      </c>
      <c r="AK875" s="15" t="s">
        <v>102</v>
      </c>
    </row>
    <row r="876" spans="33:37" x14ac:dyDescent="0.4">
      <c r="AG876" s="57" t="s">
        <v>112</v>
      </c>
      <c r="AH876" s="15" t="s">
        <v>101</v>
      </c>
      <c r="AI876" s="15" t="s">
        <v>100</v>
      </c>
      <c r="AJ876" s="15" t="s">
        <v>100</v>
      </c>
      <c r="AK876" s="15" t="s">
        <v>102</v>
      </c>
    </row>
    <row r="877" spans="33:37" x14ac:dyDescent="0.4">
      <c r="AG877" s="57" t="s">
        <v>112</v>
      </c>
      <c r="AH877" s="15" t="s">
        <v>101</v>
      </c>
      <c r="AI877" s="15" t="s">
        <v>100</v>
      </c>
      <c r="AJ877" s="15" t="s">
        <v>108</v>
      </c>
      <c r="AK877" s="15" t="s">
        <v>102</v>
      </c>
    </row>
    <row r="878" spans="33:37" x14ac:dyDescent="0.4">
      <c r="AG878" s="57" t="s">
        <v>112</v>
      </c>
      <c r="AH878" s="15" t="s">
        <v>101</v>
      </c>
      <c r="AI878" s="15" t="s">
        <v>100</v>
      </c>
      <c r="AJ878" s="15" t="s">
        <v>105</v>
      </c>
      <c r="AK878" s="15" t="s">
        <v>102</v>
      </c>
    </row>
    <row r="879" spans="33:37" x14ac:dyDescent="0.4">
      <c r="AG879" s="57" t="s">
        <v>112</v>
      </c>
      <c r="AH879" s="15" t="s">
        <v>101</v>
      </c>
      <c r="AI879" s="15" t="s">
        <v>100</v>
      </c>
      <c r="AJ879" s="57" t="s">
        <v>112</v>
      </c>
      <c r="AK879" s="15" t="s">
        <v>102</v>
      </c>
    </row>
    <row r="880" spans="33:37" x14ac:dyDescent="0.4">
      <c r="AG880" s="57" t="s">
        <v>112</v>
      </c>
      <c r="AH880" s="15" t="s">
        <v>101</v>
      </c>
      <c r="AI880" s="15" t="s">
        <v>100</v>
      </c>
      <c r="AJ880" s="15" t="s">
        <v>98</v>
      </c>
      <c r="AK880" s="15" t="s">
        <v>102</v>
      </c>
    </row>
    <row r="881" spans="33:37" x14ac:dyDescent="0.4">
      <c r="AG881" s="57" t="s">
        <v>112</v>
      </c>
      <c r="AH881" s="15" t="s">
        <v>101</v>
      </c>
      <c r="AI881" s="15" t="s">
        <v>108</v>
      </c>
      <c r="AJ881" s="15" t="s">
        <v>101</v>
      </c>
      <c r="AK881" s="15" t="s">
        <v>102</v>
      </c>
    </row>
    <row r="882" spans="33:37" x14ac:dyDescent="0.4">
      <c r="AG882" s="57" t="s">
        <v>112</v>
      </c>
      <c r="AH882" s="15" t="s">
        <v>101</v>
      </c>
      <c r="AI882" s="15" t="s">
        <v>108</v>
      </c>
      <c r="AJ882" s="15" t="s">
        <v>100</v>
      </c>
      <c r="AK882" s="15" t="s">
        <v>102</v>
      </c>
    </row>
    <row r="883" spans="33:37" x14ac:dyDescent="0.4">
      <c r="AG883" s="57" t="s">
        <v>112</v>
      </c>
      <c r="AH883" s="15" t="s">
        <v>101</v>
      </c>
      <c r="AI883" s="15" t="s">
        <v>108</v>
      </c>
      <c r="AJ883" s="15" t="s">
        <v>108</v>
      </c>
      <c r="AK883" s="15" t="s">
        <v>102</v>
      </c>
    </row>
    <row r="884" spans="33:37" x14ac:dyDescent="0.4">
      <c r="AG884" s="57" t="s">
        <v>112</v>
      </c>
      <c r="AH884" s="15" t="s">
        <v>101</v>
      </c>
      <c r="AI884" s="15" t="s">
        <v>108</v>
      </c>
      <c r="AJ884" s="15" t="s">
        <v>105</v>
      </c>
      <c r="AK884" s="15" t="s">
        <v>102</v>
      </c>
    </row>
    <row r="885" spans="33:37" x14ac:dyDescent="0.4">
      <c r="AG885" s="57" t="s">
        <v>112</v>
      </c>
      <c r="AH885" s="15" t="s">
        <v>101</v>
      </c>
      <c r="AI885" s="15" t="s">
        <v>108</v>
      </c>
      <c r="AJ885" s="57" t="s">
        <v>112</v>
      </c>
      <c r="AK885" s="15" t="s">
        <v>102</v>
      </c>
    </row>
    <row r="886" spans="33:37" x14ac:dyDescent="0.4">
      <c r="AG886" s="57" t="s">
        <v>112</v>
      </c>
      <c r="AH886" s="15" t="s">
        <v>101</v>
      </c>
      <c r="AI886" s="15" t="s">
        <v>108</v>
      </c>
      <c r="AJ886" s="15" t="s">
        <v>98</v>
      </c>
      <c r="AK886" s="15" t="s">
        <v>102</v>
      </c>
    </row>
    <row r="887" spans="33:37" x14ac:dyDescent="0.4">
      <c r="AG887" s="57" t="s">
        <v>112</v>
      </c>
      <c r="AH887" s="15" t="s">
        <v>101</v>
      </c>
      <c r="AI887" s="15" t="s">
        <v>105</v>
      </c>
      <c r="AJ887" s="15" t="s">
        <v>101</v>
      </c>
      <c r="AK887" s="15" t="s">
        <v>102</v>
      </c>
    </row>
    <row r="888" spans="33:37" x14ac:dyDescent="0.4">
      <c r="AG888" s="57" t="s">
        <v>112</v>
      </c>
      <c r="AH888" s="15" t="s">
        <v>101</v>
      </c>
      <c r="AI888" s="15" t="s">
        <v>105</v>
      </c>
      <c r="AJ888" s="15" t="s">
        <v>100</v>
      </c>
      <c r="AK888" s="15" t="s">
        <v>102</v>
      </c>
    </row>
    <row r="889" spans="33:37" x14ac:dyDescent="0.4">
      <c r="AG889" s="57" t="s">
        <v>112</v>
      </c>
      <c r="AH889" s="15" t="s">
        <v>101</v>
      </c>
      <c r="AI889" s="15" t="s">
        <v>105</v>
      </c>
      <c r="AJ889" s="15" t="s">
        <v>108</v>
      </c>
      <c r="AK889" s="15" t="s">
        <v>102</v>
      </c>
    </row>
    <row r="890" spans="33:37" x14ac:dyDescent="0.4">
      <c r="AG890" s="57" t="s">
        <v>112</v>
      </c>
      <c r="AH890" s="15" t="s">
        <v>101</v>
      </c>
      <c r="AI890" s="15" t="s">
        <v>105</v>
      </c>
      <c r="AJ890" s="15" t="s">
        <v>105</v>
      </c>
      <c r="AK890" s="15" t="s">
        <v>102</v>
      </c>
    </row>
    <row r="891" spans="33:37" x14ac:dyDescent="0.4">
      <c r="AG891" s="57" t="s">
        <v>112</v>
      </c>
      <c r="AH891" s="15" t="s">
        <v>101</v>
      </c>
      <c r="AI891" s="15" t="s">
        <v>105</v>
      </c>
      <c r="AJ891" s="57" t="s">
        <v>112</v>
      </c>
      <c r="AK891" s="15" t="s">
        <v>102</v>
      </c>
    </row>
    <row r="892" spans="33:37" x14ac:dyDescent="0.4">
      <c r="AG892" s="57" t="s">
        <v>112</v>
      </c>
      <c r="AH892" s="15" t="s">
        <v>101</v>
      </c>
      <c r="AI892" s="15" t="s">
        <v>105</v>
      </c>
      <c r="AJ892" s="15" t="s">
        <v>98</v>
      </c>
      <c r="AK892" s="15" t="s">
        <v>102</v>
      </c>
    </row>
    <row r="893" spans="33:37" x14ac:dyDescent="0.4">
      <c r="AG893" s="57" t="s">
        <v>112</v>
      </c>
      <c r="AH893" s="15" t="s">
        <v>101</v>
      </c>
      <c r="AI893" s="57" t="s">
        <v>112</v>
      </c>
      <c r="AJ893" s="15" t="s">
        <v>101</v>
      </c>
      <c r="AK893" s="15" t="s">
        <v>102</v>
      </c>
    </row>
    <row r="894" spans="33:37" x14ac:dyDescent="0.4">
      <c r="AG894" s="57" t="s">
        <v>112</v>
      </c>
      <c r="AH894" s="15" t="s">
        <v>101</v>
      </c>
      <c r="AI894" s="57" t="s">
        <v>112</v>
      </c>
      <c r="AJ894" s="15" t="s">
        <v>100</v>
      </c>
      <c r="AK894" s="15" t="s">
        <v>102</v>
      </c>
    </row>
    <row r="895" spans="33:37" x14ac:dyDescent="0.4">
      <c r="AG895" s="57" t="s">
        <v>112</v>
      </c>
      <c r="AH895" s="15" t="s">
        <v>101</v>
      </c>
      <c r="AI895" s="57" t="s">
        <v>112</v>
      </c>
      <c r="AJ895" s="15" t="s">
        <v>108</v>
      </c>
      <c r="AK895" s="15" t="s">
        <v>102</v>
      </c>
    </row>
    <row r="896" spans="33:37" x14ac:dyDescent="0.4">
      <c r="AG896" s="57" t="s">
        <v>112</v>
      </c>
      <c r="AH896" s="15" t="s">
        <v>101</v>
      </c>
      <c r="AI896" s="57" t="s">
        <v>112</v>
      </c>
      <c r="AJ896" s="15" t="s">
        <v>105</v>
      </c>
      <c r="AK896" s="15" t="s">
        <v>102</v>
      </c>
    </row>
    <row r="897" spans="33:37" x14ac:dyDescent="0.4">
      <c r="AG897" s="57" t="s">
        <v>112</v>
      </c>
      <c r="AH897" s="15" t="s">
        <v>101</v>
      </c>
      <c r="AI897" s="57" t="s">
        <v>112</v>
      </c>
      <c r="AJ897" s="57" t="s">
        <v>112</v>
      </c>
      <c r="AK897" s="15" t="s">
        <v>102</v>
      </c>
    </row>
    <row r="898" spans="33:37" x14ac:dyDescent="0.4">
      <c r="AG898" s="57" t="s">
        <v>112</v>
      </c>
      <c r="AH898" s="15" t="s">
        <v>101</v>
      </c>
      <c r="AI898" s="57" t="s">
        <v>112</v>
      </c>
      <c r="AJ898" s="15" t="s">
        <v>98</v>
      </c>
      <c r="AK898" s="15" t="s">
        <v>102</v>
      </c>
    </row>
    <row r="899" spans="33:37" x14ac:dyDescent="0.4">
      <c r="AG899" s="57" t="s">
        <v>112</v>
      </c>
      <c r="AH899" s="15" t="s">
        <v>101</v>
      </c>
      <c r="AI899" s="15" t="s">
        <v>98</v>
      </c>
      <c r="AJ899" s="15" t="s">
        <v>101</v>
      </c>
      <c r="AK899" s="15" t="s">
        <v>102</v>
      </c>
    </row>
    <row r="900" spans="33:37" x14ac:dyDescent="0.4">
      <c r="AG900" s="57" t="s">
        <v>112</v>
      </c>
      <c r="AH900" s="15" t="s">
        <v>101</v>
      </c>
      <c r="AI900" s="15" t="s">
        <v>98</v>
      </c>
      <c r="AJ900" s="15" t="s">
        <v>100</v>
      </c>
      <c r="AK900" s="15" t="s">
        <v>102</v>
      </c>
    </row>
    <row r="901" spans="33:37" x14ac:dyDescent="0.4">
      <c r="AG901" s="57" t="s">
        <v>112</v>
      </c>
      <c r="AH901" s="15" t="s">
        <v>101</v>
      </c>
      <c r="AI901" s="15" t="s">
        <v>98</v>
      </c>
      <c r="AJ901" s="15" t="s">
        <v>108</v>
      </c>
      <c r="AK901" s="15" t="s">
        <v>102</v>
      </c>
    </row>
    <row r="902" spans="33:37" x14ac:dyDescent="0.4">
      <c r="AG902" s="57" t="s">
        <v>112</v>
      </c>
      <c r="AH902" s="15" t="s">
        <v>101</v>
      </c>
      <c r="AI902" s="15" t="s">
        <v>98</v>
      </c>
      <c r="AJ902" s="15" t="s">
        <v>105</v>
      </c>
      <c r="AK902" s="15" t="s">
        <v>102</v>
      </c>
    </row>
    <row r="903" spans="33:37" x14ac:dyDescent="0.4">
      <c r="AG903" s="57" t="s">
        <v>112</v>
      </c>
      <c r="AH903" s="15" t="s">
        <v>101</v>
      </c>
      <c r="AI903" s="15" t="s">
        <v>98</v>
      </c>
      <c r="AJ903" s="57" t="s">
        <v>112</v>
      </c>
      <c r="AK903" s="15" t="s">
        <v>102</v>
      </c>
    </row>
    <row r="904" spans="33:37" x14ac:dyDescent="0.4">
      <c r="AG904" s="57" t="s">
        <v>112</v>
      </c>
      <c r="AH904" s="15" t="s">
        <v>101</v>
      </c>
      <c r="AI904" s="15" t="s">
        <v>98</v>
      </c>
      <c r="AJ904" s="15" t="s">
        <v>98</v>
      </c>
      <c r="AK904" s="15" t="s">
        <v>102</v>
      </c>
    </row>
    <row r="905" spans="33:37" x14ac:dyDescent="0.4">
      <c r="AG905" s="57" t="s">
        <v>112</v>
      </c>
      <c r="AH905" s="15" t="s">
        <v>100</v>
      </c>
      <c r="AI905" s="15" t="s">
        <v>101</v>
      </c>
      <c r="AJ905" s="15" t="s">
        <v>101</v>
      </c>
      <c r="AK905" s="15" t="s">
        <v>102</v>
      </c>
    </row>
    <row r="906" spans="33:37" x14ac:dyDescent="0.4">
      <c r="AG906" s="57" t="s">
        <v>112</v>
      </c>
      <c r="AH906" s="15" t="s">
        <v>100</v>
      </c>
      <c r="AI906" s="15" t="s">
        <v>101</v>
      </c>
      <c r="AJ906" s="15" t="s">
        <v>100</v>
      </c>
      <c r="AK906" s="15" t="s">
        <v>102</v>
      </c>
    </row>
    <row r="907" spans="33:37" x14ac:dyDescent="0.4">
      <c r="AG907" s="57" t="s">
        <v>112</v>
      </c>
      <c r="AH907" s="15" t="s">
        <v>100</v>
      </c>
      <c r="AI907" s="15" t="s">
        <v>101</v>
      </c>
      <c r="AJ907" s="15" t="s">
        <v>108</v>
      </c>
      <c r="AK907" s="15" t="s">
        <v>102</v>
      </c>
    </row>
    <row r="908" spans="33:37" x14ac:dyDescent="0.4">
      <c r="AG908" s="57" t="s">
        <v>112</v>
      </c>
      <c r="AH908" s="15" t="s">
        <v>100</v>
      </c>
      <c r="AI908" s="15" t="s">
        <v>101</v>
      </c>
      <c r="AJ908" s="15" t="s">
        <v>105</v>
      </c>
      <c r="AK908" s="15" t="s">
        <v>102</v>
      </c>
    </row>
    <row r="909" spans="33:37" x14ac:dyDescent="0.4">
      <c r="AG909" s="57" t="s">
        <v>112</v>
      </c>
      <c r="AH909" s="15" t="s">
        <v>100</v>
      </c>
      <c r="AI909" s="15" t="s">
        <v>101</v>
      </c>
      <c r="AJ909" s="57" t="s">
        <v>112</v>
      </c>
      <c r="AK909" s="15" t="s">
        <v>102</v>
      </c>
    </row>
    <row r="910" spans="33:37" x14ac:dyDescent="0.4">
      <c r="AG910" s="57" t="s">
        <v>112</v>
      </c>
      <c r="AH910" s="15" t="s">
        <v>100</v>
      </c>
      <c r="AI910" s="15" t="s">
        <v>101</v>
      </c>
      <c r="AJ910" s="15" t="s">
        <v>98</v>
      </c>
      <c r="AK910" s="15" t="s">
        <v>102</v>
      </c>
    </row>
    <row r="911" spans="33:37" x14ac:dyDescent="0.4">
      <c r="AG911" s="57" t="s">
        <v>112</v>
      </c>
      <c r="AH911" s="15" t="s">
        <v>100</v>
      </c>
      <c r="AI911" s="15" t="s">
        <v>100</v>
      </c>
      <c r="AJ911" s="15" t="s">
        <v>101</v>
      </c>
      <c r="AK911" s="15" t="s">
        <v>102</v>
      </c>
    </row>
    <row r="912" spans="33:37" x14ac:dyDescent="0.4">
      <c r="AG912" s="57" t="s">
        <v>112</v>
      </c>
      <c r="AH912" s="15" t="s">
        <v>100</v>
      </c>
      <c r="AI912" s="15" t="s">
        <v>100</v>
      </c>
      <c r="AJ912" s="15" t="s">
        <v>100</v>
      </c>
      <c r="AK912" s="15" t="s">
        <v>102</v>
      </c>
    </row>
    <row r="913" spans="33:37" x14ac:dyDescent="0.4">
      <c r="AG913" s="57" t="s">
        <v>112</v>
      </c>
      <c r="AH913" s="15" t="s">
        <v>100</v>
      </c>
      <c r="AI913" s="15" t="s">
        <v>100</v>
      </c>
      <c r="AJ913" s="15" t="s">
        <v>108</v>
      </c>
      <c r="AK913" s="15" t="s">
        <v>102</v>
      </c>
    </row>
    <row r="914" spans="33:37" x14ac:dyDescent="0.4">
      <c r="AG914" s="57" t="s">
        <v>112</v>
      </c>
      <c r="AH914" s="15" t="s">
        <v>100</v>
      </c>
      <c r="AI914" s="15" t="s">
        <v>100</v>
      </c>
      <c r="AJ914" s="15" t="s">
        <v>105</v>
      </c>
      <c r="AK914" s="15" t="s">
        <v>102</v>
      </c>
    </row>
    <row r="915" spans="33:37" x14ac:dyDescent="0.4">
      <c r="AG915" s="57" t="s">
        <v>112</v>
      </c>
      <c r="AH915" s="15" t="s">
        <v>100</v>
      </c>
      <c r="AI915" s="15" t="s">
        <v>100</v>
      </c>
      <c r="AJ915" s="57" t="s">
        <v>112</v>
      </c>
      <c r="AK915" s="15" t="s">
        <v>102</v>
      </c>
    </row>
    <row r="916" spans="33:37" x14ac:dyDescent="0.4">
      <c r="AG916" s="57" t="s">
        <v>112</v>
      </c>
      <c r="AH916" s="15" t="s">
        <v>100</v>
      </c>
      <c r="AI916" s="15" t="s">
        <v>100</v>
      </c>
      <c r="AJ916" s="15" t="s">
        <v>98</v>
      </c>
      <c r="AK916" s="15" t="s">
        <v>102</v>
      </c>
    </row>
    <row r="917" spans="33:37" x14ac:dyDescent="0.4">
      <c r="AG917" s="57" t="s">
        <v>112</v>
      </c>
      <c r="AH917" s="15" t="s">
        <v>100</v>
      </c>
      <c r="AI917" s="15" t="s">
        <v>108</v>
      </c>
      <c r="AJ917" s="15" t="s">
        <v>101</v>
      </c>
      <c r="AK917" s="15" t="s">
        <v>102</v>
      </c>
    </row>
    <row r="918" spans="33:37" x14ac:dyDescent="0.4">
      <c r="AG918" s="57" t="s">
        <v>112</v>
      </c>
      <c r="AH918" s="15" t="s">
        <v>100</v>
      </c>
      <c r="AI918" s="15" t="s">
        <v>108</v>
      </c>
      <c r="AJ918" s="15" t="s">
        <v>100</v>
      </c>
      <c r="AK918" s="15" t="s">
        <v>102</v>
      </c>
    </row>
    <row r="919" spans="33:37" x14ac:dyDescent="0.4">
      <c r="AG919" s="57" t="s">
        <v>112</v>
      </c>
      <c r="AH919" s="15" t="s">
        <v>100</v>
      </c>
      <c r="AI919" s="15" t="s">
        <v>108</v>
      </c>
      <c r="AJ919" s="15" t="s">
        <v>108</v>
      </c>
      <c r="AK919" s="15" t="s">
        <v>102</v>
      </c>
    </row>
    <row r="920" spans="33:37" x14ac:dyDescent="0.4">
      <c r="AG920" s="57" t="s">
        <v>112</v>
      </c>
      <c r="AH920" s="15" t="s">
        <v>100</v>
      </c>
      <c r="AI920" s="15" t="s">
        <v>108</v>
      </c>
      <c r="AJ920" s="15" t="s">
        <v>105</v>
      </c>
      <c r="AK920" s="15" t="s">
        <v>102</v>
      </c>
    </row>
    <row r="921" spans="33:37" x14ac:dyDescent="0.4">
      <c r="AG921" s="57" t="s">
        <v>112</v>
      </c>
      <c r="AH921" s="15" t="s">
        <v>100</v>
      </c>
      <c r="AI921" s="15" t="s">
        <v>108</v>
      </c>
      <c r="AJ921" s="57" t="s">
        <v>112</v>
      </c>
      <c r="AK921" s="15" t="s">
        <v>102</v>
      </c>
    </row>
    <row r="922" spans="33:37" x14ac:dyDescent="0.4">
      <c r="AG922" s="57" t="s">
        <v>112</v>
      </c>
      <c r="AH922" s="15" t="s">
        <v>100</v>
      </c>
      <c r="AI922" s="15" t="s">
        <v>108</v>
      </c>
      <c r="AJ922" s="15" t="s">
        <v>98</v>
      </c>
      <c r="AK922" s="15" t="s">
        <v>102</v>
      </c>
    </row>
    <row r="923" spans="33:37" x14ac:dyDescent="0.4">
      <c r="AG923" s="57" t="s">
        <v>112</v>
      </c>
      <c r="AH923" s="15" t="s">
        <v>100</v>
      </c>
      <c r="AI923" s="15" t="s">
        <v>105</v>
      </c>
      <c r="AJ923" s="15" t="s">
        <v>101</v>
      </c>
      <c r="AK923" s="15" t="s">
        <v>102</v>
      </c>
    </row>
    <row r="924" spans="33:37" x14ac:dyDescent="0.4">
      <c r="AG924" s="57" t="s">
        <v>112</v>
      </c>
      <c r="AH924" s="15" t="s">
        <v>100</v>
      </c>
      <c r="AI924" s="15" t="s">
        <v>105</v>
      </c>
      <c r="AJ924" s="15" t="s">
        <v>100</v>
      </c>
      <c r="AK924" s="15" t="s">
        <v>102</v>
      </c>
    </row>
    <row r="925" spans="33:37" x14ac:dyDescent="0.4">
      <c r="AG925" s="57" t="s">
        <v>112</v>
      </c>
      <c r="AH925" s="15" t="s">
        <v>100</v>
      </c>
      <c r="AI925" s="15" t="s">
        <v>105</v>
      </c>
      <c r="AJ925" s="15" t="s">
        <v>108</v>
      </c>
      <c r="AK925" s="15" t="s">
        <v>102</v>
      </c>
    </row>
    <row r="926" spans="33:37" x14ac:dyDescent="0.4">
      <c r="AG926" s="57" t="s">
        <v>112</v>
      </c>
      <c r="AH926" s="15" t="s">
        <v>100</v>
      </c>
      <c r="AI926" s="15" t="s">
        <v>105</v>
      </c>
      <c r="AJ926" s="15" t="s">
        <v>105</v>
      </c>
      <c r="AK926" s="15" t="s">
        <v>102</v>
      </c>
    </row>
    <row r="927" spans="33:37" x14ac:dyDescent="0.4">
      <c r="AG927" s="57" t="s">
        <v>112</v>
      </c>
      <c r="AH927" s="15" t="s">
        <v>100</v>
      </c>
      <c r="AI927" s="15" t="s">
        <v>105</v>
      </c>
      <c r="AJ927" s="57" t="s">
        <v>112</v>
      </c>
      <c r="AK927" s="15" t="s">
        <v>102</v>
      </c>
    </row>
    <row r="928" spans="33:37" x14ac:dyDescent="0.4">
      <c r="AG928" s="57" t="s">
        <v>112</v>
      </c>
      <c r="AH928" s="15" t="s">
        <v>100</v>
      </c>
      <c r="AI928" s="15" t="s">
        <v>105</v>
      </c>
      <c r="AJ928" s="15" t="s">
        <v>98</v>
      </c>
      <c r="AK928" s="15" t="s">
        <v>102</v>
      </c>
    </row>
    <row r="929" spans="33:37" x14ac:dyDescent="0.4">
      <c r="AG929" s="57" t="s">
        <v>112</v>
      </c>
      <c r="AH929" s="15" t="s">
        <v>100</v>
      </c>
      <c r="AI929" s="57" t="s">
        <v>112</v>
      </c>
      <c r="AJ929" s="15" t="s">
        <v>101</v>
      </c>
      <c r="AK929" s="15" t="s">
        <v>102</v>
      </c>
    </row>
    <row r="930" spans="33:37" x14ac:dyDescent="0.4">
      <c r="AG930" s="57" t="s">
        <v>112</v>
      </c>
      <c r="AH930" s="15" t="s">
        <v>100</v>
      </c>
      <c r="AI930" s="57" t="s">
        <v>112</v>
      </c>
      <c r="AJ930" s="15" t="s">
        <v>100</v>
      </c>
      <c r="AK930" s="15" t="s">
        <v>102</v>
      </c>
    </row>
    <row r="931" spans="33:37" x14ac:dyDescent="0.4">
      <c r="AG931" s="57" t="s">
        <v>112</v>
      </c>
      <c r="AH931" s="15" t="s">
        <v>100</v>
      </c>
      <c r="AI931" s="57" t="s">
        <v>112</v>
      </c>
      <c r="AJ931" s="15" t="s">
        <v>108</v>
      </c>
      <c r="AK931" s="15" t="s">
        <v>102</v>
      </c>
    </row>
    <row r="932" spans="33:37" x14ac:dyDescent="0.4">
      <c r="AG932" s="57" t="s">
        <v>112</v>
      </c>
      <c r="AH932" s="15" t="s">
        <v>100</v>
      </c>
      <c r="AI932" s="57" t="s">
        <v>112</v>
      </c>
      <c r="AJ932" s="15" t="s">
        <v>105</v>
      </c>
      <c r="AK932" s="15" t="s">
        <v>102</v>
      </c>
    </row>
    <row r="933" spans="33:37" x14ac:dyDescent="0.4">
      <c r="AG933" s="57" t="s">
        <v>112</v>
      </c>
      <c r="AH933" s="15" t="s">
        <v>100</v>
      </c>
      <c r="AI933" s="57" t="s">
        <v>112</v>
      </c>
      <c r="AJ933" s="57" t="s">
        <v>112</v>
      </c>
      <c r="AK933" s="15" t="s">
        <v>102</v>
      </c>
    </row>
    <row r="934" spans="33:37" x14ac:dyDescent="0.4">
      <c r="AG934" s="57" t="s">
        <v>112</v>
      </c>
      <c r="AH934" s="15" t="s">
        <v>100</v>
      </c>
      <c r="AI934" s="57" t="s">
        <v>112</v>
      </c>
      <c r="AJ934" s="15" t="s">
        <v>98</v>
      </c>
      <c r="AK934" s="15" t="s">
        <v>102</v>
      </c>
    </row>
    <row r="935" spans="33:37" x14ac:dyDescent="0.4">
      <c r="AG935" s="57" t="s">
        <v>112</v>
      </c>
      <c r="AH935" s="15" t="s">
        <v>100</v>
      </c>
      <c r="AI935" s="15" t="s">
        <v>98</v>
      </c>
      <c r="AJ935" s="15" t="s">
        <v>101</v>
      </c>
      <c r="AK935" s="15" t="s">
        <v>102</v>
      </c>
    </row>
    <row r="936" spans="33:37" x14ac:dyDescent="0.4">
      <c r="AG936" s="57" t="s">
        <v>112</v>
      </c>
      <c r="AH936" s="15" t="s">
        <v>100</v>
      </c>
      <c r="AI936" s="15" t="s">
        <v>98</v>
      </c>
      <c r="AJ936" s="15" t="s">
        <v>100</v>
      </c>
      <c r="AK936" s="15" t="s">
        <v>102</v>
      </c>
    </row>
    <row r="937" spans="33:37" x14ac:dyDescent="0.4">
      <c r="AG937" s="57" t="s">
        <v>112</v>
      </c>
      <c r="AH937" s="15" t="s">
        <v>100</v>
      </c>
      <c r="AI937" s="15" t="s">
        <v>98</v>
      </c>
      <c r="AJ937" s="15" t="s">
        <v>108</v>
      </c>
      <c r="AK937" s="15" t="s">
        <v>102</v>
      </c>
    </row>
    <row r="938" spans="33:37" x14ac:dyDescent="0.4">
      <c r="AG938" s="57" t="s">
        <v>112</v>
      </c>
      <c r="AH938" s="15" t="s">
        <v>100</v>
      </c>
      <c r="AI938" s="15" t="s">
        <v>98</v>
      </c>
      <c r="AJ938" s="15" t="s">
        <v>105</v>
      </c>
      <c r="AK938" s="15" t="s">
        <v>102</v>
      </c>
    </row>
    <row r="939" spans="33:37" x14ac:dyDescent="0.4">
      <c r="AG939" s="57" t="s">
        <v>112</v>
      </c>
      <c r="AH939" s="15" t="s">
        <v>100</v>
      </c>
      <c r="AI939" s="15" t="s">
        <v>98</v>
      </c>
      <c r="AJ939" s="57" t="s">
        <v>112</v>
      </c>
      <c r="AK939" s="15" t="s">
        <v>102</v>
      </c>
    </row>
    <row r="940" spans="33:37" x14ac:dyDescent="0.4">
      <c r="AG940" s="57" t="s">
        <v>112</v>
      </c>
      <c r="AH940" s="15" t="s">
        <v>100</v>
      </c>
      <c r="AI940" s="15" t="s">
        <v>98</v>
      </c>
      <c r="AJ940" s="15" t="s">
        <v>98</v>
      </c>
      <c r="AK940" s="15" t="s">
        <v>102</v>
      </c>
    </row>
    <row r="941" spans="33:37" x14ac:dyDescent="0.4">
      <c r="AG941" s="57" t="s">
        <v>112</v>
      </c>
      <c r="AH941" s="15" t="s">
        <v>108</v>
      </c>
      <c r="AI941" s="15" t="s">
        <v>101</v>
      </c>
      <c r="AJ941" s="15" t="s">
        <v>101</v>
      </c>
      <c r="AK941" s="15" t="s">
        <v>102</v>
      </c>
    </row>
    <row r="942" spans="33:37" x14ac:dyDescent="0.4">
      <c r="AG942" s="57" t="s">
        <v>112</v>
      </c>
      <c r="AH942" s="15" t="s">
        <v>108</v>
      </c>
      <c r="AI942" s="15" t="s">
        <v>101</v>
      </c>
      <c r="AJ942" s="15" t="s">
        <v>100</v>
      </c>
      <c r="AK942" s="15" t="s">
        <v>102</v>
      </c>
    </row>
    <row r="943" spans="33:37" x14ac:dyDescent="0.4">
      <c r="AG943" s="57" t="s">
        <v>112</v>
      </c>
      <c r="AH943" s="15" t="s">
        <v>108</v>
      </c>
      <c r="AI943" s="15" t="s">
        <v>101</v>
      </c>
      <c r="AJ943" s="15" t="s">
        <v>108</v>
      </c>
      <c r="AK943" s="15" t="s">
        <v>102</v>
      </c>
    </row>
    <row r="944" spans="33:37" x14ac:dyDescent="0.4">
      <c r="AG944" s="57" t="s">
        <v>112</v>
      </c>
      <c r="AH944" s="15" t="s">
        <v>108</v>
      </c>
      <c r="AI944" s="15" t="s">
        <v>101</v>
      </c>
      <c r="AJ944" s="15" t="s">
        <v>105</v>
      </c>
      <c r="AK944" s="15" t="s">
        <v>102</v>
      </c>
    </row>
    <row r="945" spans="33:37" x14ac:dyDescent="0.4">
      <c r="AG945" s="57" t="s">
        <v>112</v>
      </c>
      <c r="AH945" s="15" t="s">
        <v>108</v>
      </c>
      <c r="AI945" s="15" t="s">
        <v>101</v>
      </c>
      <c r="AJ945" s="57" t="s">
        <v>112</v>
      </c>
      <c r="AK945" s="15" t="s">
        <v>102</v>
      </c>
    </row>
    <row r="946" spans="33:37" x14ac:dyDescent="0.4">
      <c r="AG946" s="57" t="s">
        <v>112</v>
      </c>
      <c r="AH946" s="15" t="s">
        <v>108</v>
      </c>
      <c r="AI946" s="15" t="s">
        <v>101</v>
      </c>
      <c r="AJ946" s="15" t="s">
        <v>98</v>
      </c>
      <c r="AK946" s="15" t="s">
        <v>102</v>
      </c>
    </row>
    <row r="947" spans="33:37" x14ac:dyDescent="0.4">
      <c r="AG947" s="57" t="s">
        <v>112</v>
      </c>
      <c r="AH947" s="15" t="s">
        <v>108</v>
      </c>
      <c r="AI947" s="15" t="s">
        <v>100</v>
      </c>
      <c r="AJ947" s="15" t="s">
        <v>101</v>
      </c>
      <c r="AK947" s="15" t="s">
        <v>102</v>
      </c>
    </row>
    <row r="948" spans="33:37" x14ac:dyDescent="0.4">
      <c r="AG948" s="57" t="s">
        <v>112</v>
      </c>
      <c r="AH948" s="15" t="s">
        <v>108</v>
      </c>
      <c r="AI948" s="15" t="s">
        <v>100</v>
      </c>
      <c r="AJ948" s="15" t="s">
        <v>100</v>
      </c>
      <c r="AK948" s="15" t="s">
        <v>102</v>
      </c>
    </row>
    <row r="949" spans="33:37" x14ac:dyDescent="0.4">
      <c r="AG949" s="57" t="s">
        <v>112</v>
      </c>
      <c r="AH949" s="15" t="s">
        <v>108</v>
      </c>
      <c r="AI949" s="15" t="s">
        <v>100</v>
      </c>
      <c r="AJ949" s="15" t="s">
        <v>108</v>
      </c>
      <c r="AK949" s="15" t="s">
        <v>102</v>
      </c>
    </row>
    <row r="950" spans="33:37" x14ac:dyDescent="0.4">
      <c r="AG950" s="57" t="s">
        <v>112</v>
      </c>
      <c r="AH950" s="15" t="s">
        <v>108</v>
      </c>
      <c r="AI950" s="15" t="s">
        <v>100</v>
      </c>
      <c r="AJ950" s="15" t="s">
        <v>105</v>
      </c>
      <c r="AK950" s="15" t="s">
        <v>102</v>
      </c>
    </row>
    <row r="951" spans="33:37" x14ac:dyDescent="0.4">
      <c r="AG951" s="57" t="s">
        <v>112</v>
      </c>
      <c r="AH951" s="15" t="s">
        <v>108</v>
      </c>
      <c r="AI951" s="15" t="s">
        <v>100</v>
      </c>
      <c r="AJ951" s="57" t="s">
        <v>112</v>
      </c>
      <c r="AK951" s="15" t="s">
        <v>102</v>
      </c>
    </row>
    <row r="952" spans="33:37" x14ac:dyDescent="0.4">
      <c r="AG952" s="57" t="s">
        <v>112</v>
      </c>
      <c r="AH952" s="15" t="s">
        <v>108</v>
      </c>
      <c r="AI952" s="15" t="s">
        <v>100</v>
      </c>
      <c r="AJ952" s="15" t="s">
        <v>98</v>
      </c>
      <c r="AK952" s="15" t="s">
        <v>102</v>
      </c>
    </row>
    <row r="953" spans="33:37" x14ac:dyDescent="0.4">
      <c r="AG953" s="57" t="s">
        <v>112</v>
      </c>
      <c r="AH953" s="15" t="s">
        <v>108</v>
      </c>
      <c r="AI953" s="15" t="s">
        <v>108</v>
      </c>
      <c r="AJ953" s="15" t="s">
        <v>101</v>
      </c>
      <c r="AK953" s="15" t="s">
        <v>102</v>
      </c>
    </row>
    <row r="954" spans="33:37" x14ac:dyDescent="0.4">
      <c r="AG954" s="57" t="s">
        <v>112</v>
      </c>
      <c r="AH954" s="15" t="s">
        <v>108</v>
      </c>
      <c r="AI954" s="15" t="s">
        <v>108</v>
      </c>
      <c r="AJ954" s="15" t="s">
        <v>100</v>
      </c>
      <c r="AK954" s="15" t="s">
        <v>102</v>
      </c>
    </row>
    <row r="955" spans="33:37" x14ac:dyDescent="0.4">
      <c r="AG955" s="57" t="s">
        <v>112</v>
      </c>
      <c r="AH955" s="15" t="s">
        <v>108</v>
      </c>
      <c r="AI955" s="15" t="s">
        <v>108</v>
      </c>
      <c r="AJ955" s="15" t="s">
        <v>108</v>
      </c>
      <c r="AK955" s="15" t="s">
        <v>102</v>
      </c>
    </row>
    <row r="956" spans="33:37" x14ac:dyDescent="0.4">
      <c r="AG956" s="57" t="s">
        <v>112</v>
      </c>
      <c r="AH956" s="15" t="s">
        <v>108</v>
      </c>
      <c r="AI956" s="15" t="s">
        <v>108</v>
      </c>
      <c r="AJ956" s="15" t="s">
        <v>105</v>
      </c>
      <c r="AK956" s="15" t="s">
        <v>102</v>
      </c>
    </row>
    <row r="957" spans="33:37" x14ac:dyDescent="0.4">
      <c r="AG957" s="57" t="s">
        <v>112</v>
      </c>
      <c r="AH957" s="15" t="s">
        <v>108</v>
      </c>
      <c r="AI957" s="15" t="s">
        <v>108</v>
      </c>
      <c r="AJ957" s="57" t="s">
        <v>112</v>
      </c>
      <c r="AK957" s="15" t="s">
        <v>102</v>
      </c>
    </row>
    <row r="958" spans="33:37" x14ac:dyDescent="0.4">
      <c r="AG958" s="57" t="s">
        <v>112</v>
      </c>
      <c r="AH958" s="15" t="s">
        <v>108</v>
      </c>
      <c r="AI958" s="15" t="s">
        <v>108</v>
      </c>
      <c r="AJ958" s="15" t="s">
        <v>98</v>
      </c>
      <c r="AK958" s="15" t="s">
        <v>102</v>
      </c>
    </row>
    <row r="959" spans="33:37" x14ac:dyDescent="0.4">
      <c r="AG959" s="57" t="s">
        <v>112</v>
      </c>
      <c r="AH959" s="15" t="s">
        <v>108</v>
      </c>
      <c r="AI959" s="15" t="s">
        <v>105</v>
      </c>
      <c r="AJ959" s="15" t="s">
        <v>101</v>
      </c>
      <c r="AK959" s="15" t="s">
        <v>102</v>
      </c>
    </row>
    <row r="960" spans="33:37" x14ac:dyDescent="0.4">
      <c r="AG960" s="57" t="s">
        <v>112</v>
      </c>
      <c r="AH960" s="15" t="s">
        <v>108</v>
      </c>
      <c r="AI960" s="15" t="s">
        <v>105</v>
      </c>
      <c r="AJ960" s="15" t="s">
        <v>100</v>
      </c>
      <c r="AK960" s="15" t="s">
        <v>102</v>
      </c>
    </row>
    <row r="961" spans="33:37" x14ac:dyDescent="0.4">
      <c r="AG961" s="57" t="s">
        <v>112</v>
      </c>
      <c r="AH961" s="15" t="s">
        <v>108</v>
      </c>
      <c r="AI961" s="15" t="s">
        <v>105</v>
      </c>
      <c r="AJ961" s="15" t="s">
        <v>108</v>
      </c>
      <c r="AK961" s="15" t="s">
        <v>102</v>
      </c>
    </row>
    <row r="962" spans="33:37" x14ac:dyDescent="0.4">
      <c r="AG962" s="57" t="s">
        <v>112</v>
      </c>
      <c r="AH962" s="15" t="s">
        <v>108</v>
      </c>
      <c r="AI962" s="15" t="s">
        <v>105</v>
      </c>
      <c r="AJ962" s="15" t="s">
        <v>105</v>
      </c>
      <c r="AK962" s="15" t="s">
        <v>102</v>
      </c>
    </row>
    <row r="963" spans="33:37" x14ac:dyDescent="0.4">
      <c r="AG963" s="57" t="s">
        <v>112</v>
      </c>
      <c r="AH963" s="15" t="s">
        <v>108</v>
      </c>
      <c r="AI963" s="15" t="s">
        <v>105</v>
      </c>
      <c r="AJ963" s="57" t="s">
        <v>112</v>
      </c>
      <c r="AK963" s="15" t="s">
        <v>133</v>
      </c>
    </row>
    <row r="964" spans="33:37" x14ac:dyDescent="0.4">
      <c r="AG964" s="57" t="s">
        <v>112</v>
      </c>
      <c r="AH964" s="15" t="s">
        <v>108</v>
      </c>
      <c r="AI964" s="15" t="s">
        <v>105</v>
      </c>
      <c r="AJ964" s="15" t="s">
        <v>98</v>
      </c>
      <c r="AK964" s="15" t="s">
        <v>133</v>
      </c>
    </row>
    <row r="965" spans="33:37" x14ac:dyDescent="0.4">
      <c r="AG965" s="57" t="s">
        <v>112</v>
      </c>
      <c r="AH965" s="15" t="s">
        <v>108</v>
      </c>
      <c r="AI965" s="57" t="s">
        <v>112</v>
      </c>
      <c r="AJ965" s="15" t="s">
        <v>101</v>
      </c>
      <c r="AK965" s="15" t="s">
        <v>102</v>
      </c>
    </row>
    <row r="966" spans="33:37" x14ac:dyDescent="0.4">
      <c r="AG966" s="57" t="s">
        <v>112</v>
      </c>
      <c r="AH966" s="15" t="s">
        <v>108</v>
      </c>
      <c r="AI966" s="57" t="s">
        <v>112</v>
      </c>
      <c r="AJ966" s="15" t="s">
        <v>100</v>
      </c>
      <c r="AK966" s="15" t="s">
        <v>102</v>
      </c>
    </row>
    <row r="967" spans="33:37" x14ac:dyDescent="0.4">
      <c r="AG967" s="57" t="s">
        <v>112</v>
      </c>
      <c r="AH967" s="15" t="s">
        <v>108</v>
      </c>
      <c r="AI967" s="57" t="s">
        <v>112</v>
      </c>
      <c r="AJ967" s="15" t="s">
        <v>108</v>
      </c>
      <c r="AK967" s="15" t="s">
        <v>102</v>
      </c>
    </row>
    <row r="968" spans="33:37" x14ac:dyDescent="0.4">
      <c r="AG968" s="57" t="s">
        <v>112</v>
      </c>
      <c r="AH968" s="15" t="s">
        <v>108</v>
      </c>
      <c r="AI968" s="57" t="s">
        <v>112</v>
      </c>
      <c r="AJ968" s="15" t="s">
        <v>105</v>
      </c>
      <c r="AK968" s="15" t="s">
        <v>102</v>
      </c>
    </row>
    <row r="969" spans="33:37" x14ac:dyDescent="0.4">
      <c r="AG969" s="57" t="s">
        <v>112</v>
      </c>
      <c r="AH969" s="15" t="s">
        <v>108</v>
      </c>
      <c r="AI969" s="57" t="s">
        <v>112</v>
      </c>
      <c r="AJ969" s="57" t="s">
        <v>112</v>
      </c>
      <c r="AK969" s="15" t="s">
        <v>133</v>
      </c>
    </row>
    <row r="970" spans="33:37" x14ac:dyDescent="0.4">
      <c r="AG970" s="57" t="s">
        <v>112</v>
      </c>
      <c r="AH970" s="15" t="s">
        <v>108</v>
      </c>
      <c r="AI970" s="57" t="s">
        <v>112</v>
      </c>
      <c r="AJ970" s="15" t="s">
        <v>98</v>
      </c>
      <c r="AK970" s="15" t="s">
        <v>133</v>
      </c>
    </row>
    <row r="971" spans="33:37" x14ac:dyDescent="0.4">
      <c r="AG971" s="57" t="s">
        <v>112</v>
      </c>
      <c r="AH971" s="15" t="s">
        <v>108</v>
      </c>
      <c r="AI971" s="15" t="s">
        <v>98</v>
      </c>
      <c r="AJ971" s="15" t="s">
        <v>101</v>
      </c>
      <c r="AK971" s="15" t="s">
        <v>102</v>
      </c>
    </row>
    <row r="972" spans="33:37" x14ac:dyDescent="0.4">
      <c r="AG972" s="57" t="s">
        <v>112</v>
      </c>
      <c r="AH972" s="15" t="s">
        <v>108</v>
      </c>
      <c r="AI972" s="15" t="s">
        <v>98</v>
      </c>
      <c r="AJ972" s="15" t="s">
        <v>100</v>
      </c>
      <c r="AK972" s="15" t="s">
        <v>102</v>
      </c>
    </row>
    <row r="973" spans="33:37" x14ac:dyDescent="0.4">
      <c r="AG973" s="57" t="s">
        <v>112</v>
      </c>
      <c r="AH973" s="15" t="s">
        <v>108</v>
      </c>
      <c r="AI973" s="15" t="s">
        <v>98</v>
      </c>
      <c r="AJ973" s="15" t="s">
        <v>108</v>
      </c>
      <c r="AK973" s="15" t="s">
        <v>102</v>
      </c>
    </row>
    <row r="974" spans="33:37" x14ac:dyDescent="0.4">
      <c r="AG974" s="57" t="s">
        <v>112</v>
      </c>
      <c r="AH974" s="15" t="s">
        <v>108</v>
      </c>
      <c r="AI974" s="15" t="s">
        <v>98</v>
      </c>
      <c r="AJ974" s="15" t="s">
        <v>105</v>
      </c>
      <c r="AK974" s="15" t="s">
        <v>102</v>
      </c>
    </row>
    <row r="975" spans="33:37" x14ac:dyDescent="0.4">
      <c r="AG975" s="57" t="s">
        <v>112</v>
      </c>
      <c r="AH975" s="15" t="s">
        <v>108</v>
      </c>
      <c r="AI975" s="15" t="s">
        <v>98</v>
      </c>
      <c r="AJ975" s="57" t="s">
        <v>112</v>
      </c>
      <c r="AK975" s="15" t="s">
        <v>133</v>
      </c>
    </row>
    <row r="976" spans="33:37" x14ac:dyDescent="0.4">
      <c r="AG976" s="57" t="s">
        <v>112</v>
      </c>
      <c r="AH976" s="15" t="s">
        <v>108</v>
      </c>
      <c r="AI976" s="15" t="s">
        <v>98</v>
      </c>
      <c r="AJ976" s="15" t="s">
        <v>98</v>
      </c>
      <c r="AK976" s="15" t="s">
        <v>133</v>
      </c>
    </row>
    <row r="977" spans="33:37" x14ac:dyDescent="0.4">
      <c r="AG977" s="57" t="s">
        <v>112</v>
      </c>
      <c r="AH977" s="15" t="s">
        <v>105</v>
      </c>
      <c r="AI977" s="15" t="s">
        <v>101</v>
      </c>
      <c r="AJ977" s="15" t="s">
        <v>101</v>
      </c>
      <c r="AK977" s="15" t="s">
        <v>102</v>
      </c>
    </row>
    <row r="978" spans="33:37" x14ac:dyDescent="0.4">
      <c r="AG978" s="57" t="s">
        <v>112</v>
      </c>
      <c r="AH978" s="15" t="s">
        <v>105</v>
      </c>
      <c r="AI978" s="15" t="s">
        <v>101</v>
      </c>
      <c r="AJ978" s="15" t="s">
        <v>100</v>
      </c>
      <c r="AK978" s="15" t="s">
        <v>102</v>
      </c>
    </row>
    <row r="979" spans="33:37" x14ac:dyDescent="0.4">
      <c r="AG979" s="57" t="s">
        <v>112</v>
      </c>
      <c r="AH979" s="15" t="s">
        <v>105</v>
      </c>
      <c r="AI979" s="15" t="s">
        <v>101</v>
      </c>
      <c r="AJ979" s="15" t="s">
        <v>108</v>
      </c>
      <c r="AK979" s="15" t="s">
        <v>102</v>
      </c>
    </row>
    <row r="980" spans="33:37" x14ac:dyDescent="0.4">
      <c r="AG980" s="57" t="s">
        <v>112</v>
      </c>
      <c r="AH980" s="15" t="s">
        <v>105</v>
      </c>
      <c r="AI980" s="15" t="s">
        <v>101</v>
      </c>
      <c r="AJ980" s="15" t="s">
        <v>105</v>
      </c>
      <c r="AK980" s="15" t="s">
        <v>102</v>
      </c>
    </row>
    <row r="981" spans="33:37" x14ac:dyDescent="0.4">
      <c r="AG981" s="57" t="s">
        <v>112</v>
      </c>
      <c r="AH981" s="15" t="s">
        <v>105</v>
      </c>
      <c r="AI981" s="15" t="s">
        <v>101</v>
      </c>
      <c r="AJ981" s="57" t="s">
        <v>112</v>
      </c>
      <c r="AK981" s="15" t="s">
        <v>102</v>
      </c>
    </row>
    <row r="982" spans="33:37" x14ac:dyDescent="0.4">
      <c r="AG982" s="57" t="s">
        <v>112</v>
      </c>
      <c r="AH982" s="15" t="s">
        <v>105</v>
      </c>
      <c r="AI982" s="15" t="s">
        <v>101</v>
      </c>
      <c r="AJ982" s="15" t="s">
        <v>98</v>
      </c>
      <c r="AK982" s="15" t="s">
        <v>102</v>
      </c>
    </row>
    <row r="983" spans="33:37" x14ac:dyDescent="0.4">
      <c r="AG983" s="57" t="s">
        <v>112</v>
      </c>
      <c r="AH983" s="15" t="s">
        <v>105</v>
      </c>
      <c r="AI983" s="15" t="s">
        <v>100</v>
      </c>
      <c r="AJ983" s="15" t="s">
        <v>101</v>
      </c>
      <c r="AK983" s="15" t="s">
        <v>102</v>
      </c>
    </row>
    <row r="984" spans="33:37" x14ac:dyDescent="0.4">
      <c r="AG984" s="57" t="s">
        <v>112</v>
      </c>
      <c r="AH984" s="15" t="s">
        <v>105</v>
      </c>
      <c r="AI984" s="15" t="s">
        <v>100</v>
      </c>
      <c r="AJ984" s="15" t="s">
        <v>100</v>
      </c>
      <c r="AK984" s="15" t="s">
        <v>102</v>
      </c>
    </row>
    <row r="985" spans="33:37" x14ac:dyDescent="0.4">
      <c r="AG985" s="57" t="s">
        <v>112</v>
      </c>
      <c r="AH985" s="15" t="s">
        <v>105</v>
      </c>
      <c r="AI985" s="15" t="s">
        <v>100</v>
      </c>
      <c r="AJ985" s="15" t="s">
        <v>108</v>
      </c>
      <c r="AK985" s="15" t="s">
        <v>102</v>
      </c>
    </row>
    <row r="986" spans="33:37" x14ac:dyDescent="0.4">
      <c r="AG986" s="57" t="s">
        <v>112</v>
      </c>
      <c r="AH986" s="15" t="s">
        <v>105</v>
      </c>
      <c r="AI986" s="15" t="s">
        <v>100</v>
      </c>
      <c r="AJ986" s="15" t="s">
        <v>105</v>
      </c>
      <c r="AK986" s="15" t="s">
        <v>102</v>
      </c>
    </row>
    <row r="987" spans="33:37" x14ac:dyDescent="0.4">
      <c r="AG987" s="57" t="s">
        <v>112</v>
      </c>
      <c r="AH987" s="15" t="s">
        <v>105</v>
      </c>
      <c r="AI987" s="15" t="s">
        <v>100</v>
      </c>
      <c r="AJ987" s="57" t="s">
        <v>112</v>
      </c>
      <c r="AK987" s="15" t="s">
        <v>102</v>
      </c>
    </row>
    <row r="988" spans="33:37" x14ac:dyDescent="0.4">
      <c r="AG988" s="57" t="s">
        <v>112</v>
      </c>
      <c r="AH988" s="15" t="s">
        <v>105</v>
      </c>
      <c r="AI988" s="15" t="s">
        <v>100</v>
      </c>
      <c r="AJ988" s="15" t="s">
        <v>98</v>
      </c>
      <c r="AK988" s="15" t="s">
        <v>102</v>
      </c>
    </row>
    <row r="989" spans="33:37" x14ac:dyDescent="0.4">
      <c r="AG989" s="57" t="s">
        <v>112</v>
      </c>
      <c r="AH989" s="15" t="s">
        <v>105</v>
      </c>
      <c r="AI989" s="15" t="s">
        <v>108</v>
      </c>
      <c r="AJ989" s="15" t="s">
        <v>101</v>
      </c>
      <c r="AK989" s="15" t="s">
        <v>102</v>
      </c>
    </row>
    <row r="990" spans="33:37" x14ac:dyDescent="0.4">
      <c r="AG990" s="57" t="s">
        <v>112</v>
      </c>
      <c r="AH990" s="15" t="s">
        <v>105</v>
      </c>
      <c r="AI990" s="15" t="s">
        <v>108</v>
      </c>
      <c r="AJ990" s="15" t="s">
        <v>100</v>
      </c>
      <c r="AK990" s="15" t="s">
        <v>102</v>
      </c>
    </row>
    <row r="991" spans="33:37" x14ac:dyDescent="0.4">
      <c r="AG991" s="57" t="s">
        <v>112</v>
      </c>
      <c r="AH991" s="15" t="s">
        <v>105</v>
      </c>
      <c r="AI991" s="15" t="s">
        <v>108</v>
      </c>
      <c r="AJ991" s="15" t="s">
        <v>108</v>
      </c>
      <c r="AK991" s="15" t="s">
        <v>102</v>
      </c>
    </row>
    <row r="992" spans="33:37" x14ac:dyDescent="0.4">
      <c r="AG992" s="57" t="s">
        <v>112</v>
      </c>
      <c r="AH992" s="15" t="s">
        <v>105</v>
      </c>
      <c r="AI992" s="15" t="s">
        <v>108</v>
      </c>
      <c r="AJ992" s="15" t="s">
        <v>105</v>
      </c>
      <c r="AK992" s="15" t="s">
        <v>102</v>
      </c>
    </row>
    <row r="993" spans="33:37" x14ac:dyDescent="0.4">
      <c r="AG993" s="57" t="s">
        <v>112</v>
      </c>
      <c r="AH993" s="15" t="s">
        <v>105</v>
      </c>
      <c r="AI993" s="15" t="s">
        <v>108</v>
      </c>
      <c r="AJ993" s="57" t="s">
        <v>112</v>
      </c>
      <c r="AK993" s="15" t="s">
        <v>102</v>
      </c>
    </row>
    <row r="994" spans="33:37" x14ac:dyDescent="0.4">
      <c r="AG994" s="57" t="s">
        <v>112</v>
      </c>
      <c r="AH994" s="15" t="s">
        <v>105</v>
      </c>
      <c r="AI994" s="15" t="s">
        <v>108</v>
      </c>
      <c r="AJ994" s="15" t="s">
        <v>98</v>
      </c>
      <c r="AK994" s="15" t="s">
        <v>102</v>
      </c>
    </row>
    <row r="995" spans="33:37" x14ac:dyDescent="0.4">
      <c r="AG995" s="57" t="s">
        <v>112</v>
      </c>
      <c r="AH995" s="15" t="s">
        <v>105</v>
      </c>
      <c r="AI995" s="15" t="s">
        <v>105</v>
      </c>
      <c r="AJ995" s="15" t="s">
        <v>101</v>
      </c>
      <c r="AK995" s="15" t="s">
        <v>102</v>
      </c>
    </row>
    <row r="996" spans="33:37" x14ac:dyDescent="0.4">
      <c r="AG996" s="57" t="s">
        <v>112</v>
      </c>
      <c r="AH996" s="15" t="s">
        <v>105</v>
      </c>
      <c r="AI996" s="15" t="s">
        <v>105</v>
      </c>
      <c r="AJ996" s="15" t="s">
        <v>100</v>
      </c>
      <c r="AK996" s="15" t="s">
        <v>102</v>
      </c>
    </row>
    <row r="997" spans="33:37" x14ac:dyDescent="0.4">
      <c r="AG997" s="57" t="s">
        <v>112</v>
      </c>
      <c r="AH997" s="15" t="s">
        <v>105</v>
      </c>
      <c r="AI997" s="15" t="s">
        <v>105</v>
      </c>
      <c r="AJ997" s="15" t="s">
        <v>108</v>
      </c>
      <c r="AK997" s="15" t="s">
        <v>102</v>
      </c>
    </row>
    <row r="998" spans="33:37" x14ac:dyDescent="0.4">
      <c r="AG998" s="57" t="s">
        <v>112</v>
      </c>
      <c r="AH998" s="15" t="s">
        <v>105</v>
      </c>
      <c r="AI998" s="15" t="s">
        <v>105</v>
      </c>
      <c r="AJ998" s="15" t="s">
        <v>105</v>
      </c>
      <c r="AK998" s="15" t="s">
        <v>102</v>
      </c>
    </row>
    <row r="999" spans="33:37" x14ac:dyDescent="0.4">
      <c r="AG999" s="57" t="s">
        <v>112</v>
      </c>
      <c r="AH999" s="15" t="s">
        <v>105</v>
      </c>
      <c r="AI999" s="15" t="s">
        <v>105</v>
      </c>
      <c r="AJ999" s="57" t="s">
        <v>112</v>
      </c>
      <c r="AK999" s="15" t="s">
        <v>133</v>
      </c>
    </row>
    <row r="1000" spans="33:37" x14ac:dyDescent="0.4">
      <c r="AG1000" s="57" t="s">
        <v>112</v>
      </c>
      <c r="AH1000" s="15" t="s">
        <v>105</v>
      </c>
      <c r="AI1000" s="15" t="s">
        <v>105</v>
      </c>
      <c r="AJ1000" s="15" t="s">
        <v>98</v>
      </c>
      <c r="AK1000" s="15" t="s">
        <v>133</v>
      </c>
    </row>
    <row r="1001" spans="33:37" x14ac:dyDescent="0.4">
      <c r="AG1001" s="57" t="s">
        <v>112</v>
      </c>
      <c r="AH1001" s="15" t="s">
        <v>105</v>
      </c>
      <c r="AI1001" s="57" t="s">
        <v>112</v>
      </c>
      <c r="AJ1001" s="15" t="s">
        <v>101</v>
      </c>
      <c r="AK1001" s="15" t="s">
        <v>102</v>
      </c>
    </row>
    <row r="1002" spans="33:37" x14ac:dyDescent="0.4">
      <c r="AG1002" s="57" t="s">
        <v>112</v>
      </c>
      <c r="AH1002" s="15" t="s">
        <v>105</v>
      </c>
      <c r="AI1002" s="57" t="s">
        <v>112</v>
      </c>
      <c r="AJ1002" s="15" t="s">
        <v>100</v>
      </c>
      <c r="AK1002" s="15" t="s">
        <v>102</v>
      </c>
    </row>
    <row r="1003" spans="33:37" x14ac:dyDescent="0.4">
      <c r="AG1003" s="57" t="s">
        <v>112</v>
      </c>
      <c r="AH1003" s="15" t="s">
        <v>105</v>
      </c>
      <c r="AI1003" s="57" t="s">
        <v>112</v>
      </c>
      <c r="AJ1003" s="15" t="s">
        <v>108</v>
      </c>
      <c r="AK1003" s="15" t="s">
        <v>102</v>
      </c>
    </row>
    <row r="1004" spans="33:37" x14ac:dyDescent="0.4">
      <c r="AG1004" s="57" t="s">
        <v>112</v>
      </c>
      <c r="AH1004" s="15" t="s">
        <v>105</v>
      </c>
      <c r="AI1004" s="57" t="s">
        <v>112</v>
      </c>
      <c r="AJ1004" s="15" t="s">
        <v>105</v>
      </c>
      <c r="AK1004" s="15" t="s">
        <v>102</v>
      </c>
    </row>
    <row r="1005" spans="33:37" x14ac:dyDescent="0.4">
      <c r="AG1005" s="57" t="s">
        <v>112</v>
      </c>
      <c r="AH1005" s="15" t="s">
        <v>105</v>
      </c>
      <c r="AI1005" s="57" t="s">
        <v>112</v>
      </c>
      <c r="AJ1005" s="57" t="s">
        <v>112</v>
      </c>
      <c r="AK1005" s="15" t="s">
        <v>133</v>
      </c>
    </row>
    <row r="1006" spans="33:37" x14ac:dyDescent="0.4">
      <c r="AG1006" s="57" t="s">
        <v>112</v>
      </c>
      <c r="AH1006" s="15" t="s">
        <v>105</v>
      </c>
      <c r="AI1006" s="57" t="s">
        <v>112</v>
      </c>
      <c r="AJ1006" s="15" t="s">
        <v>98</v>
      </c>
      <c r="AK1006" s="15" t="s">
        <v>133</v>
      </c>
    </row>
    <row r="1007" spans="33:37" x14ac:dyDescent="0.4">
      <c r="AG1007" s="57" t="s">
        <v>112</v>
      </c>
      <c r="AH1007" s="15" t="s">
        <v>105</v>
      </c>
      <c r="AI1007" s="15" t="s">
        <v>98</v>
      </c>
      <c r="AJ1007" s="15" t="s">
        <v>101</v>
      </c>
      <c r="AK1007" s="15" t="s">
        <v>102</v>
      </c>
    </row>
    <row r="1008" spans="33:37" x14ac:dyDescent="0.4">
      <c r="AG1008" s="57" t="s">
        <v>112</v>
      </c>
      <c r="AH1008" s="15" t="s">
        <v>105</v>
      </c>
      <c r="AI1008" s="15" t="s">
        <v>98</v>
      </c>
      <c r="AJ1008" s="15" t="s">
        <v>100</v>
      </c>
      <c r="AK1008" s="15" t="s">
        <v>102</v>
      </c>
    </row>
    <row r="1009" spans="33:37" x14ac:dyDescent="0.4">
      <c r="AG1009" s="57" t="s">
        <v>112</v>
      </c>
      <c r="AH1009" s="15" t="s">
        <v>105</v>
      </c>
      <c r="AI1009" s="15" t="s">
        <v>98</v>
      </c>
      <c r="AJ1009" s="15" t="s">
        <v>108</v>
      </c>
      <c r="AK1009" s="15" t="s">
        <v>102</v>
      </c>
    </row>
    <row r="1010" spans="33:37" x14ac:dyDescent="0.4">
      <c r="AG1010" s="57" t="s">
        <v>112</v>
      </c>
      <c r="AH1010" s="15" t="s">
        <v>105</v>
      </c>
      <c r="AI1010" s="15" t="s">
        <v>98</v>
      </c>
      <c r="AJ1010" s="15" t="s">
        <v>105</v>
      </c>
      <c r="AK1010" s="15" t="s">
        <v>102</v>
      </c>
    </row>
    <row r="1011" spans="33:37" x14ac:dyDescent="0.4">
      <c r="AG1011" s="57" t="s">
        <v>112</v>
      </c>
      <c r="AH1011" s="15" t="s">
        <v>105</v>
      </c>
      <c r="AI1011" s="15" t="s">
        <v>98</v>
      </c>
      <c r="AJ1011" s="57" t="s">
        <v>112</v>
      </c>
      <c r="AK1011" s="15" t="s">
        <v>133</v>
      </c>
    </row>
    <row r="1012" spans="33:37" x14ac:dyDescent="0.4">
      <c r="AG1012" s="57" t="s">
        <v>112</v>
      </c>
      <c r="AH1012" s="15" t="s">
        <v>105</v>
      </c>
      <c r="AI1012" s="15" t="s">
        <v>98</v>
      </c>
      <c r="AJ1012" s="15" t="s">
        <v>98</v>
      </c>
      <c r="AK1012" s="15" t="s">
        <v>133</v>
      </c>
    </row>
    <row r="1013" spans="33:37" x14ac:dyDescent="0.4">
      <c r="AG1013" s="57" t="s">
        <v>112</v>
      </c>
      <c r="AH1013" s="57" t="s">
        <v>112</v>
      </c>
      <c r="AI1013" s="15" t="s">
        <v>101</v>
      </c>
      <c r="AJ1013" s="15" t="s">
        <v>101</v>
      </c>
      <c r="AK1013" s="15" t="s">
        <v>102</v>
      </c>
    </row>
    <row r="1014" spans="33:37" x14ac:dyDescent="0.4">
      <c r="AG1014" s="57" t="s">
        <v>112</v>
      </c>
      <c r="AH1014" s="57" t="s">
        <v>112</v>
      </c>
      <c r="AI1014" s="15" t="s">
        <v>101</v>
      </c>
      <c r="AJ1014" s="15" t="s">
        <v>100</v>
      </c>
      <c r="AK1014" s="15" t="s">
        <v>102</v>
      </c>
    </row>
    <row r="1015" spans="33:37" x14ac:dyDescent="0.4">
      <c r="AG1015" s="57" t="s">
        <v>112</v>
      </c>
      <c r="AH1015" s="57" t="s">
        <v>112</v>
      </c>
      <c r="AI1015" s="15" t="s">
        <v>101</v>
      </c>
      <c r="AJ1015" s="15" t="s">
        <v>108</v>
      </c>
      <c r="AK1015" s="15" t="s">
        <v>102</v>
      </c>
    </row>
    <row r="1016" spans="33:37" x14ac:dyDescent="0.4">
      <c r="AG1016" s="57" t="s">
        <v>112</v>
      </c>
      <c r="AH1016" s="57" t="s">
        <v>112</v>
      </c>
      <c r="AI1016" s="15" t="s">
        <v>101</v>
      </c>
      <c r="AJ1016" s="15" t="s">
        <v>105</v>
      </c>
      <c r="AK1016" s="15" t="s">
        <v>102</v>
      </c>
    </row>
    <row r="1017" spans="33:37" x14ac:dyDescent="0.4">
      <c r="AG1017" s="57" t="s">
        <v>112</v>
      </c>
      <c r="AH1017" s="57" t="s">
        <v>112</v>
      </c>
      <c r="AI1017" s="15" t="s">
        <v>101</v>
      </c>
      <c r="AJ1017" s="57" t="s">
        <v>112</v>
      </c>
      <c r="AK1017" s="15" t="s">
        <v>102</v>
      </c>
    </row>
    <row r="1018" spans="33:37" x14ac:dyDescent="0.4">
      <c r="AG1018" s="57" t="s">
        <v>112</v>
      </c>
      <c r="AH1018" s="57" t="s">
        <v>112</v>
      </c>
      <c r="AI1018" s="15" t="s">
        <v>101</v>
      </c>
      <c r="AJ1018" s="15" t="s">
        <v>98</v>
      </c>
      <c r="AK1018" s="15" t="s">
        <v>102</v>
      </c>
    </row>
    <row r="1019" spans="33:37" x14ac:dyDescent="0.4">
      <c r="AG1019" s="57" t="s">
        <v>112</v>
      </c>
      <c r="AH1019" s="57" t="s">
        <v>112</v>
      </c>
      <c r="AI1019" s="15" t="s">
        <v>100</v>
      </c>
      <c r="AJ1019" s="15" t="s">
        <v>101</v>
      </c>
      <c r="AK1019" s="15" t="s">
        <v>102</v>
      </c>
    </row>
    <row r="1020" spans="33:37" x14ac:dyDescent="0.4">
      <c r="AG1020" s="57" t="s">
        <v>112</v>
      </c>
      <c r="AH1020" s="57" t="s">
        <v>112</v>
      </c>
      <c r="AI1020" s="15" t="s">
        <v>100</v>
      </c>
      <c r="AJ1020" s="15" t="s">
        <v>100</v>
      </c>
      <c r="AK1020" s="15" t="s">
        <v>102</v>
      </c>
    </row>
    <row r="1021" spans="33:37" x14ac:dyDescent="0.4">
      <c r="AG1021" s="57" t="s">
        <v>112</v>
      </c>
      <c r="AH1021" s="57" t="s">
        <v>112</v>
      </c>
      <c r="AI1021" s="15" t="s">
        <v>100</v>
      </c>
      <c r="AJ1021" s="15" t="s">
        <v>108</v>
      </c>
      <c r="AK1021" s="15" t="s">
        <v>102</v>
      </c>
    </row>
    <row r="1022" spans="33:37" x14ac:dyDescent="0.4">
      <c r="AG1022" s="57" t="s">
        <v>112</v>
      </c>
      <c r="AH1022" s="57" t="s">
        <v>112</v>
      </c>
      <c r="AI1022" s="15" t="s">
        <v>100</v>
      </c>
      <c r="AJ1022" s="15" t="s">
        <v>105</v>
      </c>
      <c r="AK1022" s="15" t="s">
        <v>102</v>
      </c>
    </row>
    <row r="1023" spans="33:37" x14ac:dyDescent="0.4">
      <c r="AG1023" s="57" t="s">
        <v>112</v>
      </c>
      <c r="AH1023" s="57" t="s">
        <v>112</v>
      </c>
      <c r="AI1023" s="15" t="s">
        <v>100</v>
      </c>
      <c r="AJ1023" s="57" t="s">
        <v>112</v>
      </c>
      <c r="AK1023" s="15" t="s">
        <v>102</v>
      </c>
    </row>
    <row r="1024" spans="33:37" x14ac:dyDescent="0.4">
      <c r="AG1024" s="57" t="s">
        <v>112</v>
      </c>
      <c r="AH1024" s="57" t="s">
        <v>112</v>
      </c>
      <c r="AI1024" s="15" t="s">
        <v>100</v>
      </c>
      <c r="AJ1024" s="15" t="s">
        <v>98</v>
      </c>
      <c r="AK1024" s="15" t="s">
        <v>102</v>
      </c>
    </row>
    <row r="1025" spans="33:37" x14ac:dyDescent="0.4">
      <c r="AG1025" s="57" t="s">
        <v>112</v>
      </c>
      <c r="AH1025" s="57" t="s">
        <v>112</v>
      </c>
      <c r="AI1025" s="15" t="s">
        <v>108</v>
      </c>
      <c r="AJ1025" s="15" t="s">
        <v>101</v>
      </c>
      <c r="AK1025" s="15" t="s">
        <v>102</v>
      </c>
    </row>
    <row r="1026" spans="33:37" x14ac:dyDescent="0.4">
      <c r="AG1026" s="57" t="s">
        <v>112</v>
      </c>
      <c r="AH1026" s="57" t="s">
        <v>112</v>
      </c>
      <c r="AI1026" s="15" t="s">
        <v>108</v>
      </c>
      <c r="AJ1026" s="15" t="s">
        <v>100</v>
      </c>
      <c r="AK1026" s="15" t="s">
        <v>102</v>
      </c>
    </row>
    <row r="1027" spans="33:37" x14ac:dyDescent="0.4">
      <c r="AG1027" s="57" t="s">
        <v>112</v>
      </c>
      <c r="AH1027" s="57" t="s">
        <v>112</v>
      </c>
      <c r="AI1027" s="15" t="s">
        <v>108</v>
      </c>
      <c r="AJ1027" s="15" t="s">
        <v>108</v>
      </c>
      <c r="AK1027" s="15" t="s">
        <v>102</v>
      </c>
    </row>
    <row r="1028" spans="33:37" x14ac:dyDescent="0.4">
      <c r="AG1028" s="57" t="s">
        <v>112</v>
      </c>
      <c r="AH1028" s="57" t="s">
        <v>112</v>
      </c>
      <c r="AI1028" s="15" t="s">
        <v>108</v>
      </c>
      <c r="AJ1028" s="15" t="s">
        <v>105</v>
      </c>
      <c r="AK1028" s="15" t="s">
        <v>102</v>
      </c>
    </row>
    <row r="1029" spans="33:37" x14ac:dyDescent="0.4">
      <c r="AG1029" s="57" t="s">
        <v>112</v>
      </c>
      <c r="AH1029" s="57" t="s">
        <v>112</v>
      </c>
      <c r="AI1029" s="15" t="s">
        <v>108</v>
      </c>
      <c r="AJ1029" s="57" t="s">
        <v>112</v>
      </c>
      <c r="AK1029" s="15" t="s">
        <v>102</v>
      </c>
    </row>
    <row r="1030" spans="33:37" x14ac:dyDescent="0.4">
      <c r="AG1030" s="57" t="s">
        <v>112</v>
      </c>
      <c r="AH1030" s="57" t="s">
        <v>112</v>
      </c>
      <c r="AI1030" s="15" t="s">
        <v>108</v>
      </c>
      <c r="AJ1030" s="15" t="s">
        <v>98</v>
      </c>
      <c r="AK1030" s="15" t="s">
        <v>102</v>
      </c>
    </row>
    <row r="1031" spans="33:37" x14ac:dyDescent="0.4">
      <c r="AG1031" s="57" t="s">
        <v>112</v>
      </c>
      <c r="AH1031" s="57" t="s">
        <v>112</v>
      </c>
      <c r="AI1031" s="15" t="s">
        <v>105</v>
      </c>
      <c r="AJ1031" s="15" t="s">
        <v>101</v>
      </c>
      <c r="AK1031" s="15" t="s">
        <v>102</v>
      </c>
    </row>
    <row r="1032" spans="33:37" x14ac:dyDescent="0.4">
      <c r="AG1032" s="57" t="s">
        <v>112</v>
      </c>
      <c r="AH1032" s="57" t="s">
        <v>112</v>
      </c>
      <c r="AI1032" s="15" t="s">
        <v>105</v>
      </c>
      <c r="AJ1032" s="15" t="s">
        <v>100</v>
      </c>
      <c r="AK1032" s="15" t="s">
        <v>102</v>
      </c>
    </row>
    <row r="1033" spans="33:37" x14ac:dyDescent="0.4">
      <c r="AG1033" s="57" t="s">
        <v>112</v>
      </c>
      <c r="AH1033" s="57" t="s">
        <v>112</v>
      </c>
      <c r="AI1033" s="15" t="s">
        <v>105</v>
      </c>
      <c r="AJ1033" s="15" t="s">
        <v>108</v>
      </c>
      <c r="AK1033" s="15" t="s">
        <v>102</v>
      </c>
    </row>
    <row r="1034" spans="33:37" x14ac:dyDescent="0.4">
      <c r="AG1034" s="57" t="s">
        <v>112</v>
      </c>
      <c r="AH1034" s="57" t="s">
        <v>112</v>
      </c>
      <c r="AI1034" s="15" t="s">
        <v>105</v>
      </c>
      <c r="AJ1034" s="15" t="s">
        <v>105</v>
      </c>
      <c r="AK1034" s="15" t="s">
        <v>102</v>
      </c>
    </row>
    <row r="1035" spans="33:37" x14ac:dyDescent="0.4">
      <c r="AG1035" s="57" t="s">
        <v>112</v>
      </c>
      <c r="AH1035" s="57" t="s">
        <v>112</v>
      </c>
      <c r="AI1035" s="15" t="s">
        <v>105</v>
      </c>
      <c r="AJ1035" s="57" t="s">
        <v>112</v>
      </c>
      <c r="AK1035" s="15" t="s">
        <v>133</v>
      </c>
    </row>
    <row r="1036" spans="33:37" x14ac:dyDescent="0.4">
      <c r="AG1036" s="57" t="s">
        <v>112</v>
      </c>
      <c r="AH1036" s="57" t="s">
        <v>112</v>
      </c>
      <c r="AI1036" s="15" t="s">
        <v>105</v>
      </c>
      <c r="AJ1036" s="15" t="s">
        <v>98</v>
      </c>
      <c r="AK1036" s="15" t="s">
        <v>133</v>
      </c>
    </row>
    <row r="1037" spans="33:37" x14ac:dyDescent="0.4">
      <c r="AG1037" s="57" t="s">
        <v>112</v>
      </c>
      <c r="AH1037" s="57" t="s">
        <v>112</v>
      </c>
      <c r="AI1037" s="57" t="s">
        <v>112</v>
      </c>
      <c r="AJ1037" s="15" t="s">
        <v>101</v>
      </c>
      <c r="AK1037" s="15" t="s">
        <v>102</v>
      </c>
    </row>
    <row r="1038" spans="33:37" x14ac:dyDescent="0.4">
      <c r="AG1038" s="57" t="s">
        <v>112</v>
      </c>
      <c r="AH1038" s="57" t="s">
        <v>112</v>
      </c>
      <c r="AI1038" s="57" t="s">
        <v>112</v>
      </c>
      <c r="AJ1038" s="15" t="s">
        <v>100</v>
      </c>
      <c r="AK1038" s="15" t="s">
        <v>102</v>
      </c>
    </row>
    <row r="1039" spans="33:37" x14ac:dyDescent="0.4">
      <c r="AG1039" s="57" t="s">
        <v>112</v>
      </c>
      <c r="AH1039" s="57" t="s">
        <v>112</v>
      </c>
      <c r="AI1039" s="57" t="s">
        <v>112</v>
      </c>
      <c r="AJ1039" s="15" t="s">
        <v>108</v>
      </c>
      <c r="AK1039" s="15" t="s">
        <v>102</v>
      </c>
    </row>
    <row r="1040" spans="33:37" x14ac:dyDescent="0.4">
      <c r="AG1040" s="57" t="s">
        <v>112</v>
      </c>
      <c r="AH1040" s="57" t="s">
        <v>112</v>
      </c>
      <c r="AI1040" s="57" t="s">
        <v>112</v>
      </c>
      <c r="AJ1040" s="15" t="s">
        <v>105</v>
      </c>
      <c r="AK1040" s="15" t="s">
        <v>102</v>
      </c>
    </row>
    <row r="1041" spans="33:37" x14ac:dyDescent="0.4">
      <c r="AG1041" s="57" t="s">
        <v>112</v>
      </c>
      <c r="AH1041" s="57" t="s">
        <v>112</v>
      </c>
      <c r="AI1041" s="57" t="s">
        <v>112</v>
      </c>
      <c r="AJ1041" s="57" t="s">
        <v>112</v>
      </c>
      <c r="AK1041" s="15" t="s">
        <v>133</v>
      </c>
    </row>
    <row r="1042" spans="33:37" x14ac:dyDescent="0.4">
      <c r="AG1042" s="57" t="s">
        <v>112</v>
      </c>
      <c r="AH1042" s="57" t="s">
        <v>112</v>
      </c>
      <c r="AI1042" s="57" t="s">
        <v>112</v>
      </c>
      <c r="AJ1042" s="15" t="s">
        <v>98</v>
      </c>
      <c r="AK1042" s="15" t="s">
        <v>133</v>
      </c>
    </row>
    <row r="1043" spans="33:37" x14ac:dyDescent="0.4">
      <c r="AG1043" s="57" t="s">
        <v>112</v>
      </c>
      <c r="AH1043" s="57" t="s">
        <v>112</v>
      </c>
      <c r="AI1043" s="15" t="s">
        <v>98</v>
      </c>
      <c r="AJ1043" s="15" t="s">
        <v>101</v>
      </c>
      <c r="AK1043" s="15" t="s">
        <v>102</v>
      </c>
    </row>
    <row r="1044" spans="33:37" x14ac:dyDescent="0.4">
      <c r="AG1044" s="57" t="s">
        <v>112</v>
      </c>
      <c r="AH1044" s="57" t="s">
        <v>112</v>
      </c>
      <c r="AI1044" s="15" t="s">
        <v>98</v>
      </c>
      <c r="AJ1044" s="15" t="s">
        <v>100</v>
      </c>
      <c r="AK1044" s="15" t="s">
        <v>102</v>
      </c>
    </row>
    <row r="1045" spans="33:37" x14ac:dyDescent="0.4">
      <c r="AG1045" s="57" t="s">
        <v>112</v>
      </c>
      <c r="AH1045" s="57" t="s">
        <v>112</v>
      </c>
      <c r="AI1045" s="15" t="s">
        <v>98</v>
      </c>
      <c r="AJ1045" s="15" t="s">
        <v>108</v>
      </c>
      <c r="AK1045" s="15" t="s">
        <v>102</v>
      </c>
    </row>
    <row r="1046" spans="33:37" x14ac:dyDescent="0.4">
      <c r="AG1046" s="57" t="s">
        <v>112</v>
      </c>
      <c r="AH1046" s="57" t="s">
        <v>112</v>
      </c>
      <c r="AI1046" s="15" t="s">
        <v>98</v>
      </c>
      <c r="AJ1046" s="15" t="s">
        <v>105</v>
      </c>
      <c r="AK1046" s="15" t="s">
        <v>102</v>
      </c>
    </row>
    <row r="1047" spans="33:37" x14ac:dyDescent="0.4">
      <c r="AG1047" s="57" t="s">
        <v>112</v>
      </c>
      <c r="AH1047" s="57" t="s">
        <v>112</v>
      </c>
      <c r="AI1047" s="15" t="s">
        <v>98</v>
      </c>
      <c r="AJ1047" s="57" t="s">
        <v>112</v>
      </c>
      <c r="AK1047" s="15" t="s">
        <v>133</v>
      </c>
    </row>
    <row r="1048" spans="33:37" x14ac:dyDescent="0.4">
      <c r="AG1048" s="57" t="s">
        <v>112</v>
      </c>
      <c r="AH1048" s="57" t="s">
        <v>112</v>
      </c>
      <c r="AI1048" s="15" t="s">
        <v>98</v>
      </c>
      <c r="AJ1048" s="15" t="s">
        <v>98</v>
      </c>
      <c r="AK1048" s="15" t="s">
        <v>133</v>
      </c>
    </row>
    <row r="1049" spans="33:37" x14ac:dyDescent="0.4">
      <c r="AG1049" s="57" t="s">
        <v>112</v>
      </c>
      <c r="AH1049" s="15" t="s">
        <v>98</v>
      </c>
      <c r="AI1049" s="15" t="s">
        <v>101</v>
      </c>
      <c r="AJ1049" s="15" t="s">
        <v>101</v>
      </c>
      <c r="AK1049" s="15" t="s">
        <v>102</v>
      </c>
    </row>
    <row r="1050" spans="33:37" x14ac:dyDescent="0.4">
      <c r="AG1050" s="57" t="s">
        <v>112</v>
      </c>
      <c r="AH1050" s="15" t="s">
        <v>98</v>
      </c>
      <c r="AI1050" s="15" t="s">
        <v>101</v>
      </c>
      <c r="AJ1050" s="15" t="s">
        <v>100</v>
      </c>
      <c r="AK1050" s="15" t="s">
        <v>102</v>
      </c>
    </row>
    <row r="1051" spans="33:37" x14ac:dyDescent="0.4">
      <c r="AG1051" s="57" t="s">
        <v>112</v>
      </c>
      <c r="AH1051" s="15" t="s">
        <v>98</v>
      </c>
      <c r="AI1051" s="15" t="s">
        <v>101</v>
      </c>
      <c r="AJ1051" s="15" t="s">
        <v>108</v>
      </c>
      <c r="AK1051" s="15" t="s">
        <v>102</v>
      </c>
    </row>
    <row r="1052" spans="33:37" x14ac:dyDescent="0.4">
      <c r="AG1052" s="57" t="s">
        <v>112</v>
      </c>
      <c r="AH1052" s="15" t="s">
        <v>98</v>
      </c>
      <c r="AI1052" s="15" t="s">
        <v>101</v>
      </c>
      <c r="AJ1052" s="15" t="s">
        <v>105</v>
      </c>
      <c r="AK1052" s="15" t="s">
        <v>102</v>
      </c>
    </row>
    <row r="1053" spans="33:37" x14ac:dyDescent="0.4">
      <c r="AG1053" s="57" t="s">
        <v>112</v>
      </c>
      <c r="AH1053" s="15" t="s">
        <v>98</v>
      </c>
      <c r="AI1053" s="15" t="s">
        <v>101</v>
      </c>
      <c r="AJ1053" s="57" t="s">
        <v>112</v>
      </c>
      <c r="AK1053" s="15" t="s">
        <v>102</v>
      </c>
    </row>
    <row r="1054" spans="33:37" x14ac:dyDescent="0.4">
      <c r="AG1054" s="57" t="s">
        <v>112</v>
      </c>
      <c r="AH1054" s="15" t="s">
        <v>98</v>
      </c>
      <c r="AI1054" s="15" t="s">
        <v>101</v>
      </c>
      <c r="AJ1054" s="15" t="s">
        <v>98</v>
      </c>
      <c r="AK1054" s="15" t="s">
        <v>102</v>
      </c>
    </row>
    <row r="1055" spans="33:37" x14ac:dyDescent="0.4">
      <c r="AG1055" s="57" t="s">
        <v>112</v>
      </c>
      <c r="AH1055" s="15" t="s">
        <v>98</v>
      </c>
      <c r="AI1055" s="15" t="s">
        <v>100</v>
      </c>
      <c r="AJ1055" s="15" t="s">
        <v>101</v>
      </c>
      <c r="AK1055" s="15" t="s">
        <v>102</v>
      </c>
    </row>
    <row r="1056" spans="33:37" x14ac:dyDescent="0.4">
      <c r="AG1056" s="57" t="s">
        <v>112</v>
      </c>
      <c r="AH1056" s="15" t="s">
        <v>98</v>
      </c>
      <c r="AI1056" s="15" t="s">
        <v>100</v>
      </c>
      <c r="AJ1056" s="15" t="s">
        <v>100</v>
      </c>
      <c r="AK1056" s="15" t="s">
        <v>102</v>
      </c>
    </row>
    <row r="1057" spans="33:37" x14ac:dyDescent="0.4">
      <c r="AG1057" s="57" t="s">
        <v>112</v>
      </c>
      <c r="AH1057" s="15" t="s">
        <v>98</v>
      </c>
      <c r="AI1057" s="15" t="s">
        <v>100</v>
      </c>
      <c r="AJ1057" s="15" t="s">
        <v>108</v>
      </c>
      <c r="AK1057" s="15" t="s">
        <v>102</v>
      </c>
    </row>
    <row r="1058" spans="33:37" x14ac:dyDescent="0.4">
      <c r="AG1058" s="57" t="s">
        <v>112</v>
      </c>
      <c r="AH1058" s="15" t="s">
        <v>98</v>
      </c>
      <c r="AI1058" s="15" t="s">
        <v>100</v>
      </c>
      <c r="AJ1058" s="15" t="s">
        <v>105</v>
      </c>
      <c r="AK1058" s="15" t="s">
        <v>102</v>
      </c>
    </row>
    <row r="1059" spans="33:37" x14ac:dyDescent="0.4">
      <c r="AG1059" s="57" t="s">
        <v>112</v>
      </c>
      <c r="AH1059" s="15" t="s">
        <v>98</v>
      </c>
      <c r="AI1059" s="15" t="s">
        <v>100</v>
      </c>
      <c r="AJ1059" s="57" t="s">
        <v>112</v>
      </c>
      <c r="AK1059" s="15" t="s">
        <v>102</v>
      </c>
    </row>
    <row r="1060" spans="33:37" x14ac:dyDescent="0.4">
      <c r="AG1060" s="57" t="s">
        <v>112</v>
      </c>
      <c r="AH1060" s="15" t="s">
        <v>98</v>
      </c>
      <c r="AI1060" s="15" t="s">
        <v>100</v>
      </c>
      <c r="AJ1060" s="15" t="s">
        <v>98</v>
      </c>
      <c r="AK1060" s="15" t="s">
        <v>102</v>
      </c>
    </row>
    <row r="1061" spans="33:37" x14ac:dyDescent="0.4">
      <c r="AG1061" s="57" t="s">
        <v>112</v>
      </c>
      <c r="AH1061" s="15" t="s">
        <v>98</v>
      </c>
      <c r="AI1061" s="15" t="s">
        <v>108</v>
      </c>
      <c r="AJ1061" s="15" t="s">
        <v>101</v>
      </c>
      <c r="AK1061" s="15" t="s">
        <v>102</v>
      </c>
    </row>
    <row r="1062" spans="33:37" x14ac:dyDescent="0.4">
      <c r="AG1062" s="57" t="s">
        <v>112</v>
      </c>
      <c r="AH1062" s="15" t="s">
        <v>98</v>
      </c>
      <c r="AI1062" s="15" t="s">
        <v>108</v>
      </c>
      <c r="AJ1062" s="15" t="s">
        <v>100</v>
      </c>
      <c r="AK1062" s="15" t="s">
        <v>102</v>
      </c>
    </row>
    <row r="1063" spans="33:37" x14ac:dyDescent="0.4">
      <c r="AG1063" s="57" t="s">
        <v>112</v>
      </c>
      <c r="AH1063" s="15" t="s">
        <v>98</v>
      </c>
      <c r="AI1063" s="15" t="s">
        <v>108</v>
      </c>
      <c r="AJ1063" s="15" t="s">
        <v>108</v>
      </c>
      <c r="AK1063" s="15" t="s">
        <v>102</v>
      </c>
    </row>
    <row r="1064" spans="33:37" x14ac:dyDescent="0.4">
      <c r="AG1064" s="57" t="s">
        <v>112</v>
      </c>
      <c r="AH1064" s="15" t="s">
        <v>98</v>
      </c>
      <c r="AI1064" s="15" t="s">
        <v>108</v>
      </c>
      <c r="AJ1064" s="15" t="s">
        <v>105</v>
      </c>
      <c r="AK1064" s="15" t="s">
        <v>102</v>
      </c>
    </row>
    <row r="1065" spans="33:37" x14ac:dyDescent="0.4">
      <c r="AG1065" s="57" t="s">
        <v>112</v>
      </c>
      <c r="AH1065" s="15" t="s">
        <v>98</v>
      </c>
      <c r="AI1065" s="15" t="s">
        <v>108</v>
      </c>
      <c r="AJ1065" s="57" t="s">
        <v>112</v>
      </c>
      <c r="AK1065" s="15" t="s">
        <v>102</v>
      </c>
    </row>
    <row r="1066" spans="33:37" x14ac:dyDescent="0.4">
      <c r="AG1066" s="57" t="s">
        <v>112</v>
      </c>
      <c r="AH1066" s="15" t="s">
        <v>98</v>
      </c>
      <c r="AI1066" s="15" t="s">
        <v>108</v>
      </c>
      <c r="AJ1066" s="15" t="s">
        <v>98</v>
      </c>
      <c r="AK1066" s="15" t="s">
        <v>102</v>
      </c>
    </row>
    <row r="1067" spans="33:37" x14ac:dyDescent="0.4">
      <c r="AG1067" s="57" t="s">
        <v>112</v>
      </c>
      <c r="AH1067" s="15" t="s">
        <v>98</v>
      </c>
      <c r="AI1067" s="15" t="s">
        <v>105</v>
      </c>
      <c r="AJ1067" s="15" t="s">
        <v>101</v>
      </c>
      <c r="AK1067" s="15" t="s">
        <v>102</v>
      </c>
    </row>
    <row r="1068" spans="33:37" x14ac:dyDescent="0.4">
      <c r="AG1068" s="57" t="s">
        <v>112</v>
      </c>
      <c r="AH1068" s="15" t="s">
        <v>98</v>
      </c>
      <c r="AI1068" s="15" t="s">
        <v>105</v>
      </c>
      <c r="AJ1068" s="15" t="s">
        <v>100</v>
      </c>
      <c r="AK1068" s="15" t="s">
        <v>102</v>
      </c>
    </row>
    <row r="1069" spans="33:37" x14ac:dyDescent="0.4">
      <c r="AG1069" s="57" t="s">
        <v>112</v>
      </c>
      <c r="AH1069" s="15" t="s">
        <v>98</v>
      </c>
      <c r="AI1069" s="15" t="s">
        <v>105</v>
      </c>
      <c r="AJ1069" s="15" t="s">
        <v>108</v>
      </c>
      <c r="AK1069" s="15" t="s">
        <v>102</v>
      </c>
    </row>
    <row r="1070" spans="33:37" x14ac:dyDescent="0.4">
      <c r="AG1070" s="57" t="s">
        <v>112</v>
      </c>
      <c r="AH1070" s="15" t="s">
        <v>98</v>
      </c>
      <c r="AI1070" s="15" t="s">
        <v>105</v>
      </c>
      <c r="AJ1070" s="15" t="s">
        <v>105</v>
      </c>
      <c r="AK1070" s="15" t="s">
        <v>102</v>
      </c>
    </row>
    <row r="1071" spans="33:37" x14ac:dyDescent="0.4">
      <c r="AG1071" s="57" t="s">
        <v>112</v>
      </c>
      <c r="AH1071" s="15" t="s">
        <v>98</v>
      </c>
      <c r="AI1071" s="15" t="s">
        <v>105</v>
      </c>
      <c r="AJ1071" s="57" t="s">
        <v>112</v>
      </c>
      <c r="AK1071" s="15" t="s">
        <v>133</v>
      </c>
    </row>
    <row r="1072" spans="33:37" x14ac:dyDescent="0.4">
      <c r="AG1072" s="57" t="s">
        <v>112</v>
      </c>
      <c r="AH1072" s="15" t="s">
        <v>98</v>
      </c>
      <c r="AI1072" s="15" t="s">
        <v>105</v>
      </c>
      <c r="AJ1072" s="15" t="s">
        <v>98</v>
      </c>
      <c r="AK1072" s="15" t="s">
        <v>133</v>
      </c>
    </row>
    <row r="1073" spans="33:37" x14ac:dyDescent="0.4">
      <c r="AG1073" s="57" t="s">
        <v>112</v>
      </c>
      <c r="AH1073" s="15" t="s">
        <v>98</v>
      </c>
      <c r="AI1073" s="57" t="s">
        <v>112</v>
      </c>
      <c r="AJ1073" s="15" t="s">
        <v>101</v>
      </c>
      <c r="AK1073" s="15" t="s">
        <v>102</v>
      </c>
    </row>
    <row r="1074" spans="33:37" x14ac:dyDescent="0.4">
      <c r="AG1074" s="57" t="s">
        <v>112</v>
      </c>
      <c r="AH1074" s="15" t="s">
        <v>98</v>
      </c>
      <c r="AI1074" s="57" t="s">
        <v>112</v>
      </c>
      <c r="AJ1074" s="15" t="s">
        <v>100</v>
      </c>
      <c r="AK1074" s="15" t="s">
        <v>102</v>
      </c>
    </row>
    <row r="1075" spans="33:37" x14ac:dyDescent="0.4">
      <c r="AG1075" s="57" t="s">
        <v>112</v>
      </c>
      <c r="AH1075" s="15" t="s">
        <v>98</v>
      </c>
      <c r="AI1075" s="57" t="s">
        <v>112</v>
      </c>
      <c r="AJ1075" s="15" t="s">
        <v>108</v>
      </c>
      <c r="AK1075" s="15" t="s">
        <v>102</v>
      </c>
    </row>
    <row r="1076" spans="33:37" x14ac:dyDescent="0.4">
      <c r="AG1076" s="57" t="s">
        <v>112</v>
      </c>
      <c r="AH1076" s="15" t="s">
        <v>98</v>
      </c>
      <c r="AI1076" s="57" t="s">
        <v>112</v>
      </c>
      <c r="AJ1076" s="15" t="s">
        <v>105</v>
      </c>
      <c r="AK1076" s="15" t="s">
        <v>102</v>
      </c>
    </row>
    <row r="1077" spans="33:37" x14ac:dyDescent="0.4">
      <c r="AG1077" s="57" t="s">
        <v>112</v>
      </c>
      <c r="AH1077" s="15" t="s">
        <v>98</v>
      </c>
      <c r="AI1077" s="57" t="s">
        <v>112</v>
      </c>
      <c r="AJ1077" s="57" t="s">
        <v>112</v>
      </c>
      <c r="AK1077" s="15" t="s">
        <v>133</v>
      </c>
    </row>
    <row r="1078" spans="33:37" x14ac:dyDescent="0.4">
      <c r="AG1078" s="57" t="s">
        <v>112</v>
      </c>
      <c r="AH1078" s="15" t="s">
        <v>98</v>
      </c>
      <c r="AI1078" s="57" t="s">
        <v>112</v>
      </c>
      <c r="AJ1078" s="15" t="s">
        <v>98</v>
      </c>
      <c r="AK1078" s="15" t="s">
        <v>133</v>
      </c>
    </row>
    <row r="1079" spans="33:37" x14ac:dyDescent="0.4">
      <c r="AG1079" s="57" t="s">
        <v>112</v>
      </c>
      <c r="AH1079" s="15" t="s">
        <v>98</v>
      </c>
      <c r="AI1079" s="15" t="s">
        <v>98</v>
      </c>
      <c r="AJ1079" s="15" t="s">
        <v>101</v>
      </c>
      <c r="AK1079" s="15" t="s">
        <v>102</v>
      </c>
    </row>
    <row r="1080" spans="33:37" x14ac:dyDescent="0.4">
      <c r="AG1080" s="57" t="s">
        <v>112</v>
      </c>
      <c r="AH1080" s="15" t="s">
        <v>98</v>
      </c>
      <c r="AI1080" s="15" t="s">
        <v>98</v>
      </c>
      <c r="AJ1080" s="15" t="s">
        <v>100</v>
      </c>
      <c r="AK1080" s="15" t="s">
        <v>102</v>
      </c>
    </row>
    <row r="1081" spans="33:37" x14ac:dyDescent="0.4">
      <c r="AG1081" s="57" t="s">
        <v>112</v>
      </c>
      <c r="AH1081" s="15" t="s">
        <v>98</v>
      </c>
      <c r="AI1081" s="15" t="s">
        <v>98</v>
      </c>
      <c r="AJ1081" s="15" t="s">
        <v>108</v>
      </c>
      <c r="AK1081" s="15" t="s">
        <v>102</v>
      </c>
    </row>
    <row r="1082" spans="33:37" x14ac:dyDescent="0.4">
      <c r="AG1082" s="57" t="s">
        <v>112</v>
      </c>
      <c r="AH1082" s="15" t="s">
        <v>98</v>
      </c>
      <c r="AI1082" s="15" t="s">
        <v>98</v>
      </c>
      <c r="AJ1082" s="15" t="s">
        <v>105</v>
      </c>
      <c r="AK1082" s="15" t="s">
        <v>102</v>
      </c>
    </row>
    <row r="1083" spans="33:37" x14ac:dyDescent="0.4">
      <c r="AG1083" s="57" t="s">
        <v>112</v>
      </c>
      <c r="AH1083" s="15" t="s">
        <v>98</v>
      </c>
      <c r="AI1083" s="15" t="s">
        <v>98</v>
      </c>
      <c r="AJ1083" s="57" t="s">
        <v>112</v>
      </c>
      <c r="AK1083" s="15" t="s">
        <v>133</v>
      </c>
    </row>
    <row r="1084" spans="33:37" x14ac:dyDescent="0.4">
      <c r="AG1084" s="57" t="s">
        <v>112</v>
      </c>
      <c r="AH1084" s="15" t="s">
        <v>98</v>
      </c>
      <c r="AI1084" s="15" t="s">
        <v>98</v>
      </c>
      <c r="AJ1084" s="15" t="s">
        <v>98</v>
      </c>
      <c r="AK1084" s="15" t="s">
        <v>133</v>
      </c>
    </row>
    <row r="1085" spans="33:37" x14ac:dyDescent="0.4">
      <c r="AG1085" s="72" t="s">
        <v>98</v>
      </c>
      <c r="AH1085" s="72" t="s">
        <v>101</v>
      </c>
      <c r="AI1085" s="72" t="s">
        <v>101</v>
      </c>
      <c r="AJ1085" s="72" t="s">
        <v>101</v>
      </c>
      <c r="AK1085" s="15" t="s">
        <v>102</v>
      </c>
    </row>
    <row r="1086" spans="33:37" x14ac:dyDescent="0.4">
      <c r="AG1086" s="72" t="s">
        <v>98</v>
      </c>
      <c r="AH1086" s="72" t="s">
        <v>101</v>
      </c>
      <c r="AI1086" s="72" t="s">
        <v>101</v>
      </c>
      <c r="AJ1086" s="72" t="s">
        <v>100</v>
      </c>
      <c r="AK1086" s="15" t="s">
        <v>102</v>
      </c>
    </row>
    <row r="1087" spans="33:37" x14ac:dyDescent="0.4">
      <c r="AG1087" s="72" t="s">
        <v>98</v>
      </c>
      <c r="AH1087" s="72" t="s">
        <v>101</v>
      </c>
      <c r="AI1087" s="72" t="s">
        <v>101</v>
      </c>
      <c r="AJ1087" s="72" t="s">
        <v>108</v>
      </c>
      <c r="AK1087" s="15" t="s">
        <v>102</v>
      </c>
    </row>
    <row r="1088" spans="33:37" x14ac:dyDescent="0.4">
      <c r="AG1088" s="72" t="s">
        <v>98</v>
      </c>
      <c r="AH1088" s="72" t="s">
        <v>101</v>
      </c>
      <c r="AI1088" s="72" t="s">
        <v>101</v>
      </c>
      <c r="AJ1088" s="72" t="s">
        <v>105</v>
      </c>
      <c r="AK1088" s="15" t="s">
        <v>102</v>
      </c>
    </row>
    <row r="1089" spans="33:37" x14ac:dyDescent="0.4">
      <c r="AG1089" s="72" t="s">
        <v>98</v>
      </c>
      <c r="AH1089" s="72" t="s">
        <v>101</v>
      </c>
      <c r="AI1089" s="72" t="s">
        <v>101</v>
      </c>
      <c r="AJ1089" s="73" t="s">
        <v>112</v>
      </c>
      <c r="AK1089" s="15" t="s">
        <v>102</v>
      </c>
    </row>
    <row r="1090" spans="33:37" x14ac:dyDescent="0.4">
      <c r="AG1090" s="72" t="s">
        <v>98</v>
      </c>
      <c r="AH1090" s="72" t="s">
        <v>101</v>
      </c>
      <c r="AI1090" s="72" t="s">
        <v>101</v>
      </c>
      <c r="AJ1090" s="72" t="s">
        <v>98</v>
      </c>
      <c r="AK1090" s="15" t="s">
        <v>102</v>
      </c>
    </row>
    <row r="1091" spans="33:37" x14ac:dyDescent="0.4">
      <c r="AG1091" s="72" t="s">
        <v>98</v>
      </c>
      <c r="AH1091" s="72" t="s">
        <v>101</v>
      </c>
      <c r="AI1091" s="72" t="s">
        <v>100</v>
      </c>
      <c r="AJ1091" s="72" t="s">
        <v>101</v>
      </c>
      <c r="AK1091" s="15" t="s">
        <v>102</v>
      </c>
    </row>
    <row r="1092" spans="33:37" x14ac:dyDescent="0.4">
      <c r="AG1092" s="72" t="s">
        <v>98</v>
      </c>
      <c r="AH1092" s="72" t="s">
        <v>101</v>
      </c>
      <c r="AI1092" s="72" t="s">
        <v>100</v>
      </c>
      <c r="AJ1092" s="72" t="s">
        <v>100</v>
      </c>
      <c r="AK1092" s="15" t="s">
        <v>102</v>
      </c>
    </row>
    <row r="1093" spans="33:37" x14ac:dyDescent="0.4">
      <c r="AG1093" s="72" t="s">
        <v>98</v>
      </c>
      <c r="AH1093" s="72" t="s">
        <v>101</v>
      </c>
      <c r="AI1093" s="72" t="s">
        <v>100</v>
      </c>
      <c r="AJ1093" s="72" t="s">
        <v>108</v>
      </c>
      <c r="AK1093" s="15" t="s">
        <v>102</v>
      </c>
    </row>
    <row r="1094" spans="33:37" x14ac:dyDescent="0.4">
      <c r="AG1094" s="72" t="s">
        <v>98</v>
      </c>
      <c r="AH1094" s="72" t="s">
        <v>101</v>
      </c>
      <c r="AI1094" s="72" t="s">
        <v>100</v>
      </c>
      <c r="AJ1094" s="72" t="s">
        <v>105</v>
      </c>
      <c r="AK1094" s="15" t="s">
        <v>102</v>
      </c>
    </row>
    <row r="1095" spans="33:37" x14ac:dyDescent="0.4">
      <c r="AG1095" s="72" t="s">
        <v>98</v>
      </c>
      <c r="AH1095" s="72" t="s">
        <v>101</v>
      </c>
      <c r="AI1095" s="72" t="s">
        <v>100</v>
      </c>
      <c r="AJ1095" s="73" t="s">
        <v>112</v>
      </c>
      <c r="AK1095" s="15" t="s">
        <v>102</v>
      </c>
    </row>
    <row r="1096" spans="33:37" x14ac:dyDescent="0.4">
      <c r="AG1096" s="72" t="s">
        <v>98</v>
      </c>
      <c r="AH1096" s="72" t="s">
        <v>101</v>
      </c>
      <c r="AI1096" s="72" t="s">
        <v>100</v>
      </c>
      <c r="AJ1096" s="72" t="s">
        <v>98</v>
      </c>
      <c r="AK1096" s="15" t="s">
        <v>102</v>
      </c>
    </row>
    <row r="1097" spans="33:37" x14ac:dyDescent="0.4">
      <c r="AG1097" s="72" t="s">
        <v>98</v>
      </c>
      <c r="AH1097" s="72" t="s">
        <v>101</v>
      </c>
      <c r="AI1097" s="72" t="s">
        <v>108</v>
      </c>
      <c r="AJ1097" s="72" t="s">
        <v>101</v>
      </c>
      <c r="AK1097" s="15" t="s">
        <v>102</v>
      </c>
    </row>
    <row r="1098" spans="33:37" x14ac:dyDescent="0.4">
      <c r="AG1098" s="72" t="s">
        <v>98</v>
      </c>
      <c r="AH1098" s="72" t="s">
        <v>101</v>
      </c>
      <c r="AI1098" s="72" t="s">
        <v>108</v>
      </c>
      <c r="AJ1098" s="72" t="s">
        <v>100</v>
      </c>
      <c r="AK1098" s="15" t="s">
        <v>102</v>
      </c>
    </row>
    <row r="1099" spans="33:37" x14ac:dyDescent="0.4">
      <c r="AG1099" s="72" t="s">
        <v>98</v>
      </c>
      <c r="AH1099" s="72" t="s">
        <v>101</v>
      </c>
      <c r="AI1099" s="72" t="s">
        <v>108</v>
      </c>
      <c r="AJ1099" s="72" t="s">
        <v>108</v>
      </c>
      <c r="AK1099" s="15" t="s">
        <v>102</v>
      </c>
    </row>
    <row r="1100" spans="33:37" x14ac:dyDescent="0.4">
      <c r="AG1100" s="72" t="s">
        <v>98</v>
      </c>
      <c r="AH1100" s="72" t="s">
        <v>101</v>
      </c>
      <c r="AI1100" s="72" t="s">
        <v>108</v>
      </c>
      <c r="AJ1100" s="72" t="s">
        <v>105</v>
      </c>
      <c r="AK1100" s="15" t="s">
        <v>102</v>
      </c>
    </row>
    <row r="1101" spans="33:37" x14ac:dyDescent="0.4">
      <c r="AG1101" s="72" t="s">
        <v>98</v>
      </c>
      <c r="AH1101" s="72" t="s">
        <v>101</v>
      </c>
      <c r="AI1101" s="72" t="s">
        <v>108</v>
      </c>
      <c r="AJ1101" s="73" t="s">
        <v>112</v>
      </c>
      <c r="AK1101" s="15" t="s">
        <v>102</v>
      </c>
    </row>
    <row r="1102" spans="33:37" x14ac:dyDescent="0.4">
      <c r="AG1102" s="72" t="s">
        <v>98</v>
      </c>
      <c r="AH1102" s="72" t="s">
        <v>101</v>
      </c>
      <c r="AI1102" s="72" t="s">
        <v>108</v>
      </c>
      <c r="AJ1102" s="72" t="s">
        <v>98</v>
      </c>
      <c r="AK1102" s="15" t="s">
        <v>102</v>
      </c>
    </row>
    <row r="1103" spans="33:37" x14ac:dyDescent="0.4">
      <c r="AG1103" s="72" t="s">
        <v>98</v>
      </c>
      <c r="AH1103" s="72" t="s">
        <v>101</v>
      </c>
      <c r="AI1103" s="72" t="s">
        <v>105</v>
      </c>
      <c r="AJ1103" s="72" t="s">
        <v>101</v>
      </c>
      <c r="AK1103" s="15" t="s">
        <v>102</v>
      </c>
    </row>
    <row r="1104" spans="33:37" x14ac:dyDescent="0.4">
      <c r="AG1104" s="72" t="s">
        <v>98</v>
      </c>
      <c r="AH1104" s="72" t="s">
        <v>101</v>
      </c>
      <c r="AI1104" s="72" t="s">
        <v>105</v>
      </c>
      <c r="AJ1104" s="72" t="s">
        <v>100</v>
      </c>
      <c r="AK1104" s="15" t="s">
        <v>102</v>
      </c>
    </row>
    <row r="1105" spans="33:37" x14ac:dyDescent="0.4">
      <c r="AG1105" s="72" t="s">
        <v>98</v>
      </c>
      <c r="AH1105" s="72" t="s">
        <v>101</v>
      </c>
      <c r="AI1105" s="72" t="s">
        <v>105</v>
      </c>
      <c r="AJ1105" s="72" t="s">
        <v>108</v>
      </c>
      <c r="AK1105" s="15" t="s">
        <v>102</v>
      </c>
    </row>
    <row r="1106" spans="33:37" x14ac:dyDescent="0.4">
      <c r="AG1106" s="72" t="s">
        <v>98</v>
      </c>
      <c r="AH1106" s="72" t="s">
        <v>101</v>
      </c>
      <c r="AI1106" s="72" t="s">
        <v>105</v>
      </c>
      <c r="AJ1106" s="72" t="s">
        <v>105</v>
      </c>
      <c r="AK1106" s="15" t="s">
        <v>102</v>
      </c>
    </row>
    <row r="1107" spans="33:37" x14ac:dyDescent="0.4">
      <c r="AG1107" s="72" t="s">
        <v>98</v>
      </c>
      <c r="AH1107" s="72" t="s">
        <v>101</v>
      </c>
      <c r="AI1107" s="72" t="s">
        <v>105</v>
      </c>
      <c r="AJ1107" s="73" t="s">
        <v>112</v>
      </c>
      <c r="AK1107" s="15" t="s">
        <v>102</v>
      </c>
    </row>
    <row r="1108" spans="33:37" x14ac:dyDescent="0.4">
      <c r="AG1108" s="72" t="s">
        <v>98</v>
      </c>
      <c r="AH1108" s="72" t="s">
        <v>101</v>
      </c>
      <c r="AI1108" s="72" t="s">
        <v>105</v>
      </c>
      <c r="AJ1108" s="72" t="s">
        <v>98</v>
      </c>
      <c r="AK1108" s="15" t="s">
        <v>102</v>
      </c>
    </row>
    <row r="1109" spans="33:37" x14ac:dyDescent="0.4">
      <c r="AG1109" s="72" t="s">
        <v>98</v>
      </c>
      <c r="AH1109" s="72" t="s">
        <v>101</v>
      </c>
      <c r="AI1109" s="73" t="s">
        <v>112</v>
      </c>
      <c r="AJ1109" s="72" t="s">
        <v>101</v>
      </c>
      <c r="AK1109" s="15" t="s">
        <v>102</v>
      </c>
    </row>
    <row r="1110" spans="33:37" x14ac:dyDescent="0.4">
      <c r="AG1110" s="72" t="s">
        <v>98</v>
      </c>
      <c r="AH1110" s="72" t="s">
        <v>101</v>
      </c>
      <c r="AI1110" s="73" t="s">
        <v>112</v>
      </c>
      <c r="AJ1110" s="72" t="s">
        <v>100</v>
      </c>
      <c r="AK1110" s="15" t="s">
        <v>102</v>
      </c>
    </row>
    <row r="1111" spans="33:37" x14ac:dyDescent="0.4">
      <c r="AG1111" s="72" t="s">
        <v>98</v>
      </c>
      <c r="AH1111" s="72" t="s">
        <v>101</v>
      </c>
      <c r="AI1111" s="73" t="s">
        <v>112</v>
      </c>
      <c r="AJ1111" s="72" t="s">
        <v>108</v>
      </c>
      <c r="AK1111" s="15" t="s">
        <v>102</v>
      </c>
    </row>
    <row r="1112" spans="33:37" x14ac:dyDescent="0.4">
      <c r="AG1112" s="72" t="s">
        <v>98</v>
      </c>
      <c r="AH1112" s="72" t="s">
        <v>101</v>
      </c>
      <c r="AI1112" s="73" t="s">
        <v>112</v>
      </c>
      <c r="AJ1112" s="72" t="s">
        <v>105</v>
      </c>
      <c r="AK1112" s="15" t="s">
        <v>102</v>
      </c>
    </row>
    <row r="1113" spans="33:37" x14ac:dyDescent="0.4">
      <c r="AG1113" s="72" t="s">
        <v>98</v>
      </c>
      <c r="AH1113" s="72" t="s">
        <v>101</v>
      </c>
      <c r="AI1113" s="73" t="s">
        <v>112</v>
      </c>
      <c r="AJ1113" s="73" t="s">
        <v>112</v>
      </c>
      <c r="AK1113" s="15" t="s">
        <v>102</v>
      </c>
    </row>
    <row r="1114" spans="33:37" x14ac:dyDescent="0.4">
      <c r="AG1114" s="72" t="s">
        <v>98</v>
      </c>
      <c r="AH1114" s="72" t="s">
        <v>101</v>
      </c>
      <c r="AI1114" s="73" t="s">
        <v>112</v>
      </c>
      <c r="AJ1114" s="72" t="s">
        <v>98</v>
      </c>
      <c r="AK1114" s="15" t="s">
        <v>102</v>
      </c>
    </row>
    <row r="1115" spans="33:37" x14ac:dyDescent="0.4">
      <c r="AG1115" s="72" t="s">
        <v>98</v>
      </c>
      <c r="AH1115" s="72" t="s">
        <v>101</v>
      </c>
      <c r="AI1115" s="72" t="s">
        <v>98</v>
      </c>
      <c r="AJ1115" s="72" t="s">
        <v>101</v>
      </c>
      <c r="AK1115" s="15" t="s">
        <v>102</v>
      </c>
    </row>
    <row r="1116" spans="33:37" x14ac:dyDescent="0.4">
      <c r="AG1116" s="72" t="s">
        <v>98</v>
      </c>
      <c r="AH1116" s="72" t="s">
        <v>101</v>
      </c>
      <c r="AI1116" s="72" t="s">
        <v>98</v>
      </c>
      <c r="AJ1116" s="72" t="s">
        <v>100</v>
      </c>
      <c r="AK1116" s="15" t="s">
        <v>102</v>
      </c>
    </row>
    <row r="1117" spans="33:37" x14ac:dyDescent="0.4">
      <c r="AG1117" s="72" t="s">
        <v>98</v>
      </c>
      <c r="AH1117" s="72" t="s">
        <v>101</v>
      </c>
      <c r="AI1117" s="72" t="s">
        <v>98</v>
      </c>
      <c r="AJ1117" s="72" t="s">
        <v>108</v>
      </c>
      <c r="AK1117" s="15" t="s">
        <v>102</v>
      </c>
    </row>
    <row r="1118" spans="33:37" x14ac:dyDescent="0.4">
      <c r="AG1118" s="72" t="s">
        <v>98</v>
      </c>
      <c r="AH1118" s="72" t="s">
        <v>101</v>
      </c>
      <c r="AI1118" s="72" t="s">
        <v>98</v>
      </c>
      <c r="AJ1118" s="72" t="s">
        <v>105</v>
      </c>
      <c r="AK1118" s="15" t="s">
        <v>102</v>
      </c>
    </row>
    <row r="1119" spans="33:37" x14ac:dyDescent="0.4">
      <c r="AG1119" s="72" t="s">
        <v>98</v>
      </c>
      <c r="AH1119" s="72" t="s">
        <v>101</v>
      </c>
      <c r="AI1119" s="72" t="s">
        <v>98</v>
      </c>
      <c r="AJ1119" s="73" t="s">
        <v>112</v>
      </c>
      <c r="AK1119" s="15" t="s">
        <v>102</v>
      </c>
    </row>
    <row r="1120" spans="33:37" x14ac:dyDescent="0.4">
      <c r="AG1120" s="72" t="s">
        <v>98</v>
      </c>
      <c r="AH1120" s="72" t="s">
        <v>101</v>
      </c>
      <c r="AI1120" s="72" t="s">
        <v>98</v>
      </c>
      <c r="AJ1120" s="72" t="s">
        <v>98</v>
      </c>
      <c r="AK1120" s="15" t="s">
        <v>102</v>
      </c>
    </row>
    <row r="1121" spans="33:37" x14ac:dyDescent="0.4">
      <c r="AG1121" s="72" t="s">
        <v>98</v>
      </c>
      <c r="AH1121" s="72" t="s">
        <v>100</v>
      </c>
      <c r="AI1121" s="72" t="s">
        <v>101</v>
      </c>
      <c r="AJ1121" s="72" t="s">
        <v>101</v>
      </c>
      <c r="AK1121" s="15" t="s">
        <v>102</v>
      </c>
    </row>
    <row r="1122" spans="33:37" x14ac:dyDescent="0.4">
      <c r="AG1122" s="72" t="s">
        <v>98</v>
      </c>
      <c r="AH1122" s="72" t="s">
        <v>100</v>
      </c>
      <c r="AI1122" s="72" t="s">
        <v>101</v>
      </c>
      <c r="AJ1122" s="72" t="s">
        <v>100</v>
      </c>
      <c r="AK1122" s="15" t="s">
        <v>102</v>
      </c>
    </row>
    <row r="1123" spans="33:37" x14ac:dyDescent="0.4">
      <c r="AG1123" s="72" t="s">
        <v>98</v>
      </c>
      <c r="AH1123" s="72" t="s">
        <v>100</v>
      </c>
      <c r="AI1123" s="72" t="s">
        <v>101</v>
      </c>
      <c r="AJ1123" s="72" t="s">
        <v>108</v>
      </c>
      <c r="AK1123" s="15" t="s">
        <v>102</v>
      </c>
    </row>
    <row r="1124" spans="33:37" x14ac:dyDescent="0.4">
      <c r="AG1124" s="72" t="s">
        <v>98</v>
      </c>
      <c r="AH1124" s="72" t="s">
        <v>100</v>
      </c>
      <c r="AI1124" s="72" t="s">
        <v>101</v>
      </c>
      <c r="AJ1124" s="72" t="s">
        <v>105</v>
      </c>
      <c r="AK1124" s="15" t="s">
        <v>102</v>
      </c>
    </row>
    <row r="1125" spans="33:37" x14ac:dyDescent="0.4">
      <c r="AG1125" s="72" t="s">
        <v>98</v>
      </c>
      <c r="AH1125" s="72" t="s">
        <v>100</v>
      </c>
      <c r="AI1125" s="72" t="s">
        <v>101</v>
      </c>
      <c r="AJ1125" s="73" t="s">
        <v>112</v>
      </c>
      <c r="AK1125" s="15" t="s">
        <v>102</v>
      </c>
    </row>
    <row r="1126" spans="33:37" x14ac:dyDescent="0.4">
      <c r="AG1126" s="72" t="s">
        <v>98</v>
      </c>
      <c r="AH1126" s="72" t="s">
        <v>100</v>
      </c>
      <c r="AI1126" s="72" t="s">
        <v>101</v>
      </c>
      <c r="AJ1126" s="72" t="s">
        <v>98</v>
      </c>
      <c r="AK1126" s="15" t="s">
        <v>102</v>
      </c>
    </row>
    <row r="1127" spans="33:37" x14ac:dyDescent="0.4">
      <c r="AG1127" s="72" t="s">
        <v>98</v>
      </c>
      <c r="AH1127" s="72" t="s">
        <v>100</v>
      </c>
      <c r="AI1127" s="72" t="s">
        <v>100</v>
      </c>
      <c r="AJ1127" s="72" t="s">
        <v>101</v>
      </c>
      <c r="AK1127" s="15" t="s">
        <v>102</v>
      </c>
    </row>
    <row r="1128" spans="33:37" x14ac:dyDescent="0.4">
      <c r="AG1128" s="72" t="s">
        <v>98</v>
      </c>
      <c r="AH1128" s="72" t="s">
        <v>100</v>
      </c>
      <c r="AI1128" s="72" t="s">
        <v>100</v>
      </c>
      <c r="AJ1128" s="72" t="s">
        <v>100</v>
      </c>
      <c r="AK1128" s="15" t="s">
        <v>102</v>
      </c>
    </row>
    <row r="1129" spans="33:37" x14ac:dyDescent="0.4">
      <c r="AG1129" s="72" t="s">
        <v>98</v>
      </c>
      <c r="AH1129" s="72" t="s">
        <v>100</v>
      </c>
      <c r="AI1129" s="72" t="s">
        <v>100</v>
      </c>
      <c r="AJ1129" s="72" t="s">
        <v>108</v>
      </c>
      <c r="AK1129" s="15" t="s">
        <v>102</v>
      </c>
    </row>
    <row r="1130" spans="33:37" x14ac:dyDescent="0.4">
      <c r="AG1130" s="72" t="s">
        <v>98</v>
      </c>
      <c r="AH1130" s="72" t="s">
        <v>100</v>
      </c>
      <c r="AI1130" s="72" t="s">
        <v>100</v>
      </c>
      <c r="AJ1130" s="72" t="s">
        <v>105</v>
      </c>
      <c r="AK1130" s="15" t="s">
        <v>102</v>
      </c>
    </row>
    <row r="1131" spans="33:37" x14ac:dyDescent="0.4">
      <c r="AG1131" s="72" t="s">
        <v>98</v>
      </c>
      <c r="AH1131" s="72" t="s">
        <v>100</v>
      </c>
      <c r="AI1131" s="72" t="s">
        <v>100</v>
      </c>
      <c r="AJ1131" s="73" t="s">
        <v>112</v>
      </c>
      <c r="AK1131" s="15" t="s">
        <v>102</v>
      </c>
    </row>
    <row r="1132" spans="33:37" x14ac:dyDescent="0.4">
      <c r="AG1132" s="72" t="s">
        <v>98</v>
      </c>
      <c r="AH1132" s="72" t="s">
        <v>100</v>
      </c>
      <c r="AI1132" s="72" t="s">
        <v>100</v>
      </c>
      <c r="AJ1132" s="72" t="s">
        <v>98</v>
      </c>
      <c r="AK1132" s="15" t="s">
        <v>102</v>
      </c>
    </row>
    <row r="1133" spans="33:37" x14ac:dyDescent="0.4">
      <c r="AG1133" s="72" t="s">
        <v>98</v>
      </c>
      <c r="AH1133" s="72" t="s">
        <v>100</v>
      </c>
      <c r="AI1133" s="72" t="s">
        <v>108</v>
      </c>
      <c r="AJ1133" s="72" t="s">
        <v>101</v>
      </c>
      <c r="AK1133" s="15" t="s">
        <v>102</v>
      </c>
    </row>
    <row r="1134" spans="33:37" x14ac:dyDescent="0.4">
      <c r="AG1134" s="72" t="s">
        <v>98</v>
      </c>
      <c r="AH1134" s="72" t="s">
        <v>100</v>
      </c>
      <c r="AI1134" s="72" t="s">
        <v>108</v>
      </c>
      <c r="AJ1134" s="72" t="s">
        <v>100</v>
      </c>
      <c r="AK1134" s="15" t="s">
        <v>102</v>
      </c>
    </row>
    <row r="1135" spans="33:37" x14ac:dyDescent="0.4">
      <c r="AG1135" s="72" t="s">
        <v>98</v>
      </c>
      <c r="AH1135" s="72" t="s">
        <v>100</v>
      </c>
      <c r="AI1135" s="72" t="s">
        <v>108</v>
      </c>
      <c r="AJ1135" s="72" t="s">
        <v>108</v>
      </c>
      <c r="AK1135" s="15" t="s">
        <v>102</v>
      </c>
    </row>
    <row r="1136" spans="33:37" x14ac:dyDescent="0.4">
      <c r="AG1136" s="72" t="s">
        <v>98</v>
      </c>
      <c r="AH1136" s="72" t="s">
        <v>100</v>
      </c>
      <c r="AI1136" s="72" t="s">
        <v>108</v>
      </c>
      <c r="AJ1136" s="72" t="s">
        <v>105</v>
      </c>
      <c r="AK1136" s="15" t="s">
        <v>102</v>
      </c>
    </row>
    <row r="1137" spans="33:37" x14ac:dyDescent="0.4">
      <c r="AG1137" s="72" t="s">
        <v>98</v>
      </c>
      <c r="AH1137" s="72" t="s">
        <v>100</v>
      </c>
      <c r="AI1137" s="72" t="s">
        <v>108</v>
      </c>
      <c r="AJ1137" s="73" t="s">
        <v>112</v>
      </c>
      <c r="AK1137" s="15" t="s">
        <v>102</v>
      </c>
    </row>
    <row r="1138" spans="33:37" x14ac:dyDescent="0.4">
      <c r="AG1138" s="72" t="s">
        <v>98</v>
      </c>
      <c r="AH1138" s="72" t="s">
        <v>100</v>
      </c>
      <c r="AI1138" s="72" t="s">
        <v>108</v>
      </c>
      <c r="AJ1138" s="72" t="s">
        <v>98</v>
      </c>
      <c r="AK1138" s="15" t="s">
        <v>102</v>
      </c>
    </row>
    <row r="1139" spans="33:37" x14ac:dyDescent="0.4">
      <c r="AG1139" s="72" t="s">
        <v>98</v>
      </c>
      <c r="AH1139" s="72" t="s">
        <v>100</v>
      </c>
      <c r="AI1139" s="72" t="s">
        <v>105</v>
      </c>
      <c r="AJ1139" s="72" t="s">
        <v>101</v>
      </c>
      <c r="AK1139" s="15" t="s">
        <v>102</v>
      </c>
    </row>
    <row r="1140" spans="33:37" x14ac:dyDescent="0.4">
      <c r="AG1140" s="72" t="s">
        <v>98</v>
      </c>
      <c r="AH1140" s="72" t="s">
        <v>100</v>
      </c>
      <c r="AI1140" s="72" t="s">
        <v>105</v>
      </c>
      <c r="AJ1140" s="72" t="s">
        <v>100</v>
      </c>
      <c r="AK1140" s="15" t="s">
        <v>102</v>
      </c>
    </row>
    <row r="1141" spans="33:37" x14ac:dyDescent="0.4">
      <c r="AG1141" s="72" t="s">
        <v>98</v>
      </c>
      <c r="AH1141" s="72" t="s">
        <v>100</v>
      </c>
      <c r="AI1141" s="72" t="s">
        <v>105</v>
      </c>
      <c r="AJ1141" s="72" t="s">
        <v>108</v>
      </c>
      <c r="AK1141" s="15" t="s">
        <v>102</v>
      </c>
    </row>
    <row r="1142" spans="33:37" x14ac:dyDescent="0.4">
      <c r="AG1142" s="72" t="s">
        <v>98</v>
      </c>
      <c r="AH1142" s="72" t="s">
        <v>100</v>
      </c>
      <c r="AI1142" s="72" t="s">
        <v>105</v>
      </c>
      <c r="AJ1142" s="72" t="s">
        <v>105</v>
      </c>
      <c r="AK1142" s="15" t="s">
        <v>102</v>
      </c>
    </row>
    <row r="1143" spans="33:37" x14ac:dyDescent="0.4">
      <c r="AG1143" s="72" t="s">
        <v>98</v>
      </c>
      <c r="AH1143" s="72" t="s">
        <v>100</v>
      </c>
      <c r="AI1143" s="72" t="s">
        <v>105</v>
      </c>
      <c r="AJ1143" s="73" t="s">
        <v>112</v>
      </c>
      <c r="AK1143" s="15" t="s">
        <v>102</v>
      </c>
    </row>
    <row r="1144" spans="33:37" x14ac:dyDescent="0.4">
      <c r="AG1144" s="72" t="s">
        <v>98</v>
      </c>
      <c r="AH1144" s="72" t="s">
        <v>100</v>
      </c>
      <c r="AI1144" s="72" t="s">
        <v>105</v>
      </c>
      <c r="AJ1144" s="72" t="s">
        <v>98</v>
      </c>
      <c r="AK1144" s="15" t="s">
        <v>102</v>
      </c>
    </row>
    <row r="1145" spans="33:37" x14ac:dyDescent="0.4">
      <c r="AG1145" s="72" t="s">
        <v>98</v>
      </c>
      <c r="AH1145" s="72" t="s">
        <v>100</v>
      </c>
      <c r="AI1145" s="73" t="s">
        <v>112</v>
      </c>
      <c r="AJ1145" s="72" t="s">
        <v>101</v>
      </c>
      <c r="AK1145" s="15" t="s">
        <v>102</v>
      </c>
    </row>
    <row r="1146" spans="33:37" x14ac:dyDescent="0.4">
      <c r="AG1146" s="72" t="s">
        <v>98</v>
      </c>
      <c r="AH1146" s="72" t="s">
        <v>100</v>
      </c>
      <c r="AI1146" s="73" t="s">
        <v>112</v>
      </c>
      <c r="AJ1146" s="72" t="s">
        <v>100</v>
      </c>
      <c r="AK1146" s="15" t="s">
        <v>102</v>
      </c>
    </row>
    <row r="1147" spans="33:37" x14ac:dyDescent="0.4">
      <c r="AG1147" s="72" t="s">
        <v>98</v>
      </c>
      <c r="AH1147" s="72" t="s">
        <v>100</v>
      </c>
      <c r="AI1147" s="73" t="s">
        <v>112</v>
      </c>
      <c r="AJ1147" s="72" t="s">
        <v>108</v>
      </c>
      <c r="AK1147" s="15" t="s">
        <v>102</v>
      </c>
    </row>
    <row r="1148" spans="33:37" x14ac:dyDescent="0.4">
      <c r="AG1148" s="72" t="s">
        <v>98</v>
      </c>
      <c r="AH1148" s="72" t="s">
        <v>100</v>
      </c>
      <c r="AI1148" s="73" t="s">
        <v>112</v>
      </c>
      <c r="AJ1148" s="72" t="s">
        <v>105</v>
      </c>
      <c r="AK1148" s="15" t="s">
        <v>102</v>
      </c>
    </row>
    <row r="1149" spans="33:37" x14ac:dyDescent="0.4">
      <c r="AG1149" s="72" t="s">
        <v>98</v>
      </c>
      <c r="AH1149" s="72" t="s">
        <v>100</v>
      </c>
      <c r="AI1149" s="73" t="s">
        <v>112</v>
      </c>
      <c r="AJ1149" s="73" t="s">
        <v>112</v>
      </c>
      <c r="AK1149" s="15" t="s">
        <v>102</v>
      </c>
    </row>
    <row r="1150" spans="33:37" x14ac:dyDescent="0.4">
      <c r="AG1150" s="72" t="s">
        <v>98</v>
      </c>
      <c r="AH1150" s="72" t="s">
        <v>100</v>
      </c>
      <c r="AI1150" s="73" t="s">
        <v>112</v>
      </c>
      <c r="AJ1150" s="72" t="s">
        <v>98</v>
      </c>
      <c r="AK1150" s="15" t="s">
        <v>102</v>
      </c>
    </row>
    <row r="1151" spans="33:37" x14ac:dyDescent="0.4">
      <c r="AG1151" s="72" t="s">
        <v>98</v>
      </c>
      <c r="AH1151" s="72" t="s">
        <v>100</v>
      </c>
      <c r="AI1151" s="72" t="s">
        <v>98</v>
      </c>
      <c r="AJ1151" s="72" t="s">
        <v>101</v>
      </c>
      <c r="AK1151" s="15" t="s">
        <v>102</v>
      </c>
    </row>
    <row r="1152" spans="33:37" x14ac:dyDescent="0.4">
      <c r="AG1152" s="72" t="s">
        <v>98</v>
      </c>
      <c r="AH1152" s="72" t="s">
        <v>100</v>
      </c>
      <c r="AI1152" s="72" t="s">
        <v>98</v>
      </c>
      <c r="AJ1152" s="72" t="s">
        <v>100</v>
      </c>
      <c r="AK1152" s="15" t="s">
        <v>102</v>
      </c>
    </row>
    <row r="1153" spans="33:37" x14ac:dyDescent="0.4">
      <c r="AG1153" s="72" t="s">
        <v>98</v>
      </c>
      <c r="AH1153" s="72" t="s">
        <v>100</v>
      </c>
      <c r="AI1153" s="72" t="s">
        <v>98</v>
      </c>
      <c r="AJ1153" s="72" t="s">
        <v>108</v>
      </c>
      <c r="AK1153" s="15" t="s">
        <v>102</v>
      </c>
    </row>
    <row r="1154" spans="33:37" x14ac:dyDescent="0.4">
      <c r="AG1154" s="72" t="s">
        <v>98</v>
      </c>
      <c r="AH1154" s="72" t="s">
        <v>100</v>
      </c>
      <c r="AI1154" s="72" t="s">
        <v>98</v>
      </c>
      <c r="AJ1154" s="72" t="s">
        <v>105</v>
      </c>
      <c r="AK1154" s="15" t="s">
        <v>102</v>
      </c>
    </row>
    <row r="1155" spans="33:37" x14ac:dyDescent="0.4">
      <c r="AG1155" s="72" t="s">
        <v>98</v>
      </c>
      <c r="AH1155" s="72" t="s">
        <v>100</v>
      </c>
      <c r="AI1155" s="72" t="s">
        <v>98</v>
      </c>
      <c r="AJ1155" s="73" t="s">
        <v>112</v>
      </c>
      <c r="AK1155" s="15" t="s">
        <v>102</v>
      </c>
    </row>
    <row r="1156" spans="33:37" x14ac:dyDescent="0.4">
      <c r="AG1156" s="72" t="s">
        <v>98</v>
      </c>
      <c r="AH1156" s="72" t="s">
        <v>100</v>
      </c>
      <c r="AI1156" s="72" t="s">
        <v>98</v>
      </c>
      <c r="AJ1156" s="72" t="s">
        <v>98</v>
      </c>
      <c r="AK1156" s="15" t="s">
        <v>102</v>
      </c>
    </row>
    <row r="1157" spans="33:37" x14ac:dyDescent="0.4">
      <c r="AG1157" s="72" t="s">
        <v>98</v>
      </c>
      <c r="AH1157" s="72" t="s">
        <v>108</v>
      </c>
      <c r="AI1157" s="72" t="s">
        <v>101</v>
      </c>
      <c r="AJ1157" s="72" t="s">
        <v>101</v>
      </c>
      <c r="AK1157" s="15" t="s">
        <v>102</v>
      </c>
    </row>
    <row r="1158" spans="33:37" x14ac:dyDescent="0.4">
      <c r="AG1158" s="72" t="s">
        <v>98</v>
      </c>
      <c r="AH1158" s="72" t="s">
        <v>108</v>
      </c>
      <c r="AI1158" s="72" t="s">
        <v>101</v>
      </c>
      <c r="AJ1158" s="72" t="s">
        <v>100</v>
      </c>
      <c r="AK1158" s="15" t="s">
        <v>102</v>
      </c>
    </row>
    <row r="1159" spans="33:37" x14ac:dyDescent="0.4">
      <c r="AG1159" s="72" t="s">
        <v>98</v>
      </c>
      <c r="AH1159" s="72" t="s">
        <v>108</v>
      </c>
      <c r="AI1159" s="72" t="s">
        <v>101</v>
      </c>
      <c r="AJ1159" s="72" t="s">
        <v>108</v>
      </c>
      <c r="AK1159" s="15" t="s">
        <v>102</v>
      </c>
    </row>
    <row r="1160" spans="33:37" x14ac:dyDescent="0.4">
      <c r="AG1160" s="72" t="s">
        <v>98</v>
      </c>
      <c r="AH1160" s="72" t="s">
        <v>108</v>
      </c>
      <c r="AI1160" s="72" t="s">
        <v>101</v>
      </c>
      <c r="AJ1160" s="72" t="s">
        <v>105</v>
      </c>
      <c r="AK1160" s="15" t="s">
        <v>102</v>
      </c>
    </row>
    <row r="1161" spans="33:37" x14ac:dyDescent="0.4">
      <c r="AG1161" s="72" t="s">
        <v>98</v>
      </c>
      <c r="AH1161" s="72" t="s">
        <v>108</v>
      </c>
      <c r="AI1161" s="72" t="s">
        <v>101</v>
      </c>
      <c r="AJ1161" s="73" t="s">
        <v>112</v>
      </c>
      <c r="AK1161" s="15" t="s">
        <v>102</v>
      </c>
    </row>
    <row r="1162" spans="33:37" x14ac:dyDescent="0.4">
      <c r="AG1162" s="72" t="s">
        <v>98</v>
      </c>
      <c r="AH1162" s="72" t="s">
        <v>108</v>
      </c>
      <c r="AI1162" s="72" t="s">
        <v>101</v>
      </c>
      <c r="AJ1162" s="72" t="s">
        <v>98</v>
      </c>
      <c r="AK1162" s="15" t="s">
        <v>102</v>
      </c>
    </row>
    <row r="1163" spans="33:37" x14ac:dyDescent="0.4">
      <c r="AG1163" s="72" t="s">
        <v>98</v>
      </c>
      <c r="AH1163" s="72" t="s">
        <v>108</v>
      </c>
      <c r="AI1163" s="72" t="s">
        <v>100</v>
      </c>
      <c r="AJ1163" s="72" t="s">
        <v>101</v>
      </c>
      <c r="AK1163" s="15" t="s">
        <v>102</v>
      </c>
    </row>
    <row r="1164" spans="33:37" x14ac:dyDescent="0.4">
      <c r="AG1164" s="72" t="s">
        <v>98</v>
      </c>
      <c r="AH1164" s="72" t="s">
        <v>108</v>
      </c>
      <c r="AI1164" s="72" t="s">
        <v>100</v>
      </c>
      <c r="AJ1164" s="72" t="s">
        <v>100</v>
      </c>
      <c r="AK1164" s="15" t="s">
        <v>102</v>
      </c>
    </row>
    <row r="1165" spans="33:37" x14ac:dyDescent="0.4">
      <c r="AG1165" s="72" t="s">
        <v>98</v>
      </c>
      <c r="AH1165" s="72" t="s">
        <v>108</v>
      </c>
      <c r="AI1165" s="72" t="s">
        <v>100</v>
      </c>
      <c r="AJ1165" s="72" t="s">
        <v>108</v>
      </c>
      <c r="AK1165" s="15" t="s">
        <v>102</v>
      </c>
    </row>
    <row r="1166" spans="33:37" x14ac:dyDescent="0.4">
      <c r="AG1166" s="72" t="s">
        <v>98</v>
      </c>
      <c r="AH1166" s="72" t="s">
        <v>108</v>
      </c>
      <c r="AI1166" s="72" t="s">
        <v>100</v>
      </c>
      <c r="AJ1166" s="72" t="s">
        <v>105</v>
      </c>
      <c r="AK1166" s="15" t="s">
        <v>102</v>
      </c>
    </row>
    <row r="1167" spans="33:37" x14ac:dyDescent="0.4">
      <c r="AG1167" s="72" t="s">
        <v>98</v>
      </c>
      <c r="AH1167" s="72" t="s">
        <v>108</v>
      </c>
      <c r="AI1167" s="72" t="s">
        <v>100</v>
      </c>
      <c r="AJ1167" s="73" t="s">
        <v>112</v>
      </c>
      <c r="AK1167" s="15" t="s">
        <v>102</v>
      </c>
    </row>
    <row r="1168" spans="33:37" x14ac:dyDescent="0.4">
      <c r="AG1168" s="72" t="s">
        <v>98</v>
      </c>
      <c r="AH1168" s="72" t="s">
        <v>108</v>
      </c>
      <c r="AI1168" s="72" t="s">
        <v>100</v>
      </c>
      <c r="AJ1168" s="72" t="s">
        <v>98</v>
      </c>
      <c r="AK1168" s="15" t="s">
        <v>102</v>
      </c>
    </row>
    <row r="1169" spans="33:37" x14ac:dyDescent="0.4">
      <c r="AG1169" s="72" t="s">
        <v>98</v>
      </c>
      <c r="AH1169" s="72" t="s">
        <v>108</v>
      </c>
      <c r="AI1169" s="72" t="s">
        <v>108</v>
      </c>
      <c r="AJ1169" s="72" t="s">
        <v>101</v>
      </c>
      <c r="AK1169" s="15" t="s">
        <v>102</v>
      </c>
    </row>
    <row r="1170" spans="33:37" x14ac:dyDescent="0.4">
      <c r="AG1170" s="72" t="s">
        <v>98</v>
      </c>
      <c r="AH1170" s="72" t="s">
        <v>108</v>
      </c>
      <c r="AI1170" s="72" t="s">
        <v>108</v>
      </c>
      <c r="AJ1170" s="72" t="s">
        <v>100</v>
      </c>
      <c r="AK1170" s="15" t="s">
        <v>102</v>
      </c>
    </row>
    <row r="1171" spans="33:37" x14ac:dyDescent="0.4">
      <c r="AG1171" s="72" t="s">
        <v>98</v>
      </c>
      <c r="AH1171" s="72" t="s">
        <v>108</v>
      </c>
      <c r="AI1171" s="72" t="s">
        <v>108</v>
      </c>
      <c r="AJ1171" s="72" t="s">
        <v>108</v>
      </c>
      <c r="AK1171" s="15" t="s">
        <v>102</v>
      </c>
    </row>
    <row r="1172" spans="33:37" x14ac:dyDescent="0.4">
      <c r="AG1172" s="72" t="s">
        <v>98</v>
      </c>
      <c r="AH1172" s="72" t="s">
        <v>108</v>
      </c>
      <c r="AI1172" s="72" t="s">
        <v>108</v>
      </c>
      <c r="AJ1172" s="72" t="s">
        <v>105</v>
      </c>
      <c r="AK1172" s="15" t="s">
        <v>102</v>
      </c>
    </row>
    <row r="1173" spans="33:37" x14ac:dyDescent="0.4">
      <c r="AG1173" s="72" t="s">
        <v>98</v>
      </c>
      <c r="AH1173" s="72" t="s">
        <v>108</v>
      </c>
      <c r="AI1173" s="72" t="s">
        <v>108</v>
      </c>
      <c r="AJ1173" s="73" t="s">
        <v>112</v>
      </c>
      <c r="AK1173" s="15" t="s">
        <v>102</v>
      </c>
    </row>
    <row r="1174" spans="33:37" x14ac:dyDescent="0.4">
      <c r="AG1174" s="72" t="s">
        <v>98</v>
      </c>
      <c r="AH1174" s="72" t="s">
        <v>108</v>
      </c>
      <c r="AI1174" s="72" t="s">
        <v>108</v>
      </c>
      <c r="AJ1174" s="72" t="s">
        <v>98</v>
      </c>
      <c r="AK1174" s="15" t="s">
        <v>102</v>
      </c>
    </row>
    <row r="1175" spans="33:37" x14ac:dyDescent="0.4">
      <c r="AG1175" s="72" t="s">
        <v>98</v>
      </c>
      <c r="AH1175" s="72" t="s">
        <v>108</v>
      </c>
      <c r="AI1175" s="72" t="s">
        <v>105</v>
      </c>
      <c r="AJ1175" s="72" t="s">
        <v>101</v>
      </c>
      <c r="AK1175" s="15" t="s">
        <v>102</v>
      </c>
    </row>
    <row r="1176" spans="33:37" x14ac:dyDescent="0.4">
      <c r="AG1176" s="72" t="s">
        <v>98</v>
      </c>
      <c r="AH1176" s="72" t="s">
        <v>108</v>
      </c>
      <c r="AI1176" s="72" t="s">
        <v>105</v>
      </c>
      <c r="AJ1176" s="72" t="s">
        <v>100</v>
      </c>
      <c r="AK1176" s="15" t="s">
        <v>102</v>
      </c>
    </row>
    <row r="1177" spans="33:37" x14ac:dyDescent="0.4">
      <c r="AG1177" s="72" t="s">
        <v>98</v>
      </c>
      <c r="AH1177" s="72" t="s">
        <v>108</v>
      </c>
      <c r="AI1177" s="72" t="s">
        <v>105</v>
      </c>
      <c r="AJ1177" s="72" t="s">
        <v>108</v>
      </c>
      <c r="AK1177" s="15" t="s">
        <v>102</v>
      </c>
    </row>
    <row r="1178" spans="33:37" x14ac:dyDescent="0.4">
      <c r="AG1178" s="72" t="s">
        <v>98</v>
      </c>
      <c r="AH1178" s="72" t="s">
        <v>108</v>
      </c>
      <c r="AI1178" s="72" t="s">
        <v>105</v>
      </c>
      <c r="AJ1178" s="72" t="s">
        <v>105</v>
      </c>
      <c r="AK1178" s="15" t="s">
        <v>102</v>
      </c>
    </row>
    <row r="1179" spans="33:37" x14ac:dyDescent="0.4">
      <c r="AG1179" s="72" t="s">
        <v>98</v>
      </c>
      <c r="AH1179" s="72" t="s">
        <v>108</v>
      </c>
      <c r="AI1179" s="72" t="s">
        <v>105</v>
      </c>
      <c r="AJ1179" s="73" t="s">
        <v>112</v>
      </c>
      <c r="AK1179" s="15" t="s">
        <v>133</v>
      </c>
    </row>
    <row r="1180" spans="33:37" x14ac:dyDescent="0.4">
      <c r="AG1180" s="72" t="s">
        <v>98</v>
      </c>
      <c r="AH1180" s="72" t="s">
        <v>108</v>
      </c>
      <c r="AI1180" s="72" t="s">
        <v>105</v>
      </c>
      <c r="AJ1180" s="72" t="s">
        <v>98</v>
      </c>
      <c r="AK1180" s="15" t="s">
        <v>133</v>
      </c>
    </row>
    <row r="1181" spans="33:37" x14ac:dyDescent="0.4">
      <c r="AG1181" s="72" t="s">
        <v>98</v>
      </c>
      <c r="AH1181" s="72" t="s">
        <v>108</v>
      </c>
      <c r="AI1181" s="73" t="s">
        <v>112</v>
      </c>
      <c r="AJ1181" s="72" t="s">
        <v>101</v>
      </c>
      <c r="AK1181" s="15" t="s">
        <v>102</v>
      </c>
    </row>
    <row r="1182" spans="33:37" x14ac:dyDescent="0.4">
      <c r="AG1182" s="72" t="s">
        <v>98</v>
      </c>
      <c r="AH1182" s="72" t="s">
        <v>108</v>
      </c>
      <c r="AI1182" s="73" t="s">
        <v>112</v>
      </c>
      <c r="AJ1182" s="72" t="s">
        <v>100</v>
      </c>
      <c r="AK1182" s="15" t="s">
        <v>102</v>
      </c>
    </row>
    <row r="1183" spans="33:37" x14ac:dyDescent="0.4">
      <c r="AG1183" s="72" t="s">
        <v>98</v>
      </c>
      <c r="AH1183" s="72" t="s">
        <v>108</v>
      </c>
      <c r="AI1183" s="73" t="s">
        <v>112</v>
      </c>
      <c r="AJ1183" s="72" t="s">
        <v>108</v>
      </c>
      <c r="AK1183" s="15" t="s">
        <v>102</v>
      </c>
    </row>
    <row r="1184" spans="33:37" x14ac:dyDescent="0.4">
      <c r="AG1184" s="72" t="s">
        <v>98</v>
      </c>
      <c r="AH1184" s="72" t="s">
        <v>108</v>
      </c>
      <c r="AI1184" s="73" t="s">
        <v>112</v>
      </c>
      <c r="AJ1184" s="72" t="s">
        <v>105</v>
      </c>
      <c r="AK1184" s="15" t="s">
        <v>102</v>
      </c>
    </row>
    <row r="1185" spans="33:37" x14ac:dyDescent="0.4">
      <c r="AG1185" s="72" t="s">
        <v>98</v>
      </c>
      <c r="AH1185" s="72" t="s">
        <v>108</v>
      </c>
      <c r="AI1185" s="73" t="s">
        <v>112</v>
      </c>
      <c r="AJ1185" s="73" t="s">
        <v>112</v>
      </c>
      <c r="AK1185" s="15" t="s">
        <v>133</v>
      </c>
    </row>
    <row r="1186" spans="33:37" x14ac:dyDescent="0.4">
      <c r="AG1186" s="72" t="s">
        <v>98</v>
      </c>
      <c r="AH1186" s="72" t="s">
        <v>108</v>
      </c>
      <c r="AI1186" s="73" t="s">
        <v>112</v>
      </c>
      <c r="AJ1186" s="72" t="s">
        <v>98</v>
      </c>
      <c r="AK1186" s="15" t="s">
        <v>133</v>
      </c>
    </row>
    <row r="1187" spans="33:37" x14ac:dyDescent="0.4">
      <c r="AG1187" s="72" t="s">
        <v>98</v>
      </c>
      <c r="AH1187" s="72" t="s">
        <v>108</v>
      </c>
      <c r="AI1187" s="72" t="s">
        <v>98</v>
      </c>
      <c r="AJ1187" s="72" t="s">
        <v>101</v>
      </c>
      <c r="AK1187" s="15" t="s">
        <v>102</v>
      </c>
    </row>
    <row r="1188" spans="33:37" x14ac:dyDescent="0.4">
      <c r="AG1188" s="72" t="s">
        <v>98</v>
      </c>
      <c r="AH1188" s="72" t="s">
        <v>108</v>
      </c>
      <c r="AI1188" s="72" t="s">
        <v>98</v>
      </c>
      <c r="AJ1188" s="72" t="s">
        <v>100</v>
      </c>
      <c r="AK1188" s="15" t="s">
        <v>102</v>
      </c>
    </row>
    <row r="1189" spans="33:37" x14ac:dyDescent="0.4">
      <c r="AG1189" s="72" t="s">
        <v>98</v>
      </c>
      <c r="AH1189" s="72" t="s">
        <v>108</v>
      </c>
      <c r="AI1189" s="72" t="s">
        <v>98</v>
      </c>
      <c r="AJ1189" s="72" t="s">
        <v>108</v>
      </c>
      <c r="AK1189" s="15" t="s">
        <v>102</v>
      </c>
    </row>
    <row r="1190" spans="33:37" x14ac:dyDescent="0.4">
      <c r="AG1190" s="72" t="s">
        <v>98</v>
      </c>
      <c r="AH1190" s="72" t="s">
        <v>108</v>
      </c>
      <c r="AI1190" s="72" t="s">
        <v>98</v>
      </c>
      <c r="AJ1190" s="72" t="s">
        <v>105</v>
      </c>
      <c r="AK1190" s="15" t="s">
        <v>102</v>
      </c>
    </row>
    <row r="1191" spans="33:37" x14ac:dyDescent="0.4">
      <c r="AG1191" s="72" t="s">
        <v>98</v>
      </c>
      <c r="AH1191" s="72" t="s">
        <v>108</v>
      </c>
      <c r="AI1191" s="72" t="s">
        <v>98</v>
      </c>
      <c r="AJ1191" s="73" t="s">
        <v>112</v>
      </c>
      <c r="AK1191" s="15" t="s">
        <v>133</v>
      </c>
    </row>
    <row r="1192" spans="33:37" x14ac:dyDescent="0.4">
      <c r="AG1192" s="72" t="s">
        <v>98</v>
      </c>
      <c r="AH1192" s="72" t="s">
        <v>108</v>
      </c>
      <c r="AI1192" s="72" t="s">
        <v>98</v>
      </c>
      <c r="AJ1192" s="72" t="s">
        <v>98</v>
      </c>
      <c r="AK1192" s="15" t="s">
        <v>133</v>
      </c>
    </row>
    <row r="1193" spans="33:37" x14ac:dyDescent="0.4">
      <c r="AG1193" s="72" t="s">
        <v>98</v>
      </c>
      <c r="AH1193" s="72" t="s">
        <v>105</v>
      </c>
      <c r="AI1193" s="72" t="s">
        <v>101</v>
      </c>
      <c r="AJ1193" s="72" t="s">
        <v>101</v>
      </c>
      <c r="AK1193" s="15" t="s">
        <v>102</v>
      </c>
    </row>
    <row r="1194" spans="33:37" x14ac:dyDescent="0.4">
      <c r="AG1194" s="72" t="s">
        <v>98</v>
      </c>
      <c r="AH1194" s="72" t="s">
        <v>105</v>
      </c>
      <c r="AI1194" s="72" t="s">
        <v>101</v>
      </c>
      <c r="AJ1194" s="72" t="s">
        <v>100</v>
      </c>
      <c r="AK1194" s="15" t="s">
        <v>102</v>
      </c>
    </row>
    <row r="1195" spans="33:37" x14ac:dyDescent="0.4">
      <c r="AG1195" s="72" t="s">
        <v>98</v>
      </c>
      <c r="AH1195" s="72" t="s">
        <v>105</v>
      </c>
      <c r="AI1195" s="72" t="s">
        <v>101</v>
      </c>
      <c r="AJ1195" s="72" t="s">
        <v>108</v>
      </c>
      <c r="AK1195" s="15" t="s">
        <v>102</v>
      </c>
    </row>
    <row r="1196" spans="33:37" x14ac:dyDescent="0.4">
      <c r="AG1196" s="72" t="s">
        <v>98</v>
      </c>
      <c r="AH1196" s="72" t="s">
        <v>105</v>
      </c>
      <c r="AI1196" s="72" t="s">
        <v>101</v>
      </c>
      <c r="AJ1196" s="72" t="s">
        <v>105</v>
      </c>
      <c r="AK1196" s="15" t="s">
        <v>102</v>
      </c>
    </row>
    <row r="1197" spans="33:37" x14ac:dyDescent="0.4">
      <c r="AG1197" s="72" t="s">
        <v>98</v>
      </c>
      <c r="AH1197" s="72" t="s">
        <v>105</v>
      </c>
      <c r="AI1197" s="72" t="s">
        <v>101</v>
      </c>
      <c r="AJ1197" s="73" t="s">
        <v>112</v>
      </c>
      <c r="AK1197" s="15" t="s">
        <v>102</v>
      </c>
    </row>
    <row r="1198" spans="33:37" x14ac:dyDescent="0.4">
      <c r="AG1198" s="72" t="s">
        <v>98</v>
      </c>
      <c r="AH1198" s="72" t="s">
        <v>105</v>
      </c>
      <c r="AI1198" s="72" t="s">
        <v>101</v>
      </c>
      <c r="AJ1198" s="72" t="s">
        <v>98</v>
      </c>
      <c r="AK1198" s="15" t="s">
        <v>102</v>
      </c>
    </row>
    <row r="1199" spans="33:37" x14ac:dyDescent="0.4">
      <c r="AG1199" s="72" t="s">
        <v>98</v>
      </c>
      <c r="AH1199" s="72" t="s">
        <v>105</v>
      </c>
      <c r="AI1199" s="72" t="s">
        <v>100</v>
      </c>
      <c r="AJ1199" s="72" t="s">
        <v>101</v>
      </c>
      <c r="AK1199" s="15" t="s">
        <v>102</v>
      </c>
    </row>
    <row r="1200" spans="33:37" x14ac:dyDescent="0.4">
      <c r="AG1200" s="72" t="s">
        <v>98</v>
      </c>
      <c r="AH1200" s="72" t="s">
        <v>105</v>
      </c>
      <c r="AI1200" s="72" t="s">
        <v>100</v>
      </c>
      <c r="AJ1200" s="72" t="s">
        <v>100</v>
      </c>
      <c r="AK1200" s="15" t="s">
        <v>102</v>
      </c>
    </row>
    <row r="1201" spans="33:37" x14ac:dyDescent="0.4">
      <c r="AG1201" s="72" t="s">
        <v>98</v>
      </c>
      <c r="AH1201" s="72" t="s">
        <v>105</v>
      </c>
      <c r="AI1201" s="72" t="s">
        <v>100</v>
      </c>
      <c r="AJ1201" s="72" t="s">
        <v>108</v>
      </c>
      <c r="AK1201" s="15" t="s">
        <v>102</v>
      </c>
    </row>
    <row r="1202" spans="33:37" x14ac:dyDescent="0.4">
      <c r="AG1202" s="72" t="s">
        <v>98</v>
      </c>
      <c r="AH1202" s="72" t="s">
        <v>105</v>
      </c>
      <c r="AI1202" s="72" t="s">
        <v>100</v>
      </c>
      <c r="AJ1202" s="72" t="s">
        <v>105</v>
      </c>
      <c r="AK1202" s="15" t="s">
        <v>102</v>
      </c>
    </row>
    <row r="1203" spans="33:37" x14ac:dyDescent="0.4">
      <c r="AG1203" s="72" t="s">
        <v>98</v>
      </c>
      <c r="AH1203" s="72" t="s">
        <v>105</v>
      </c>
      <c r="AI1203" s="72" t="s">
        <v>100</v>
      </c>
      <c r="AJ1203" s="73" t="s">
        <v>112</v>
      </c>
      <c r="AK1203" s="15" t="s">
        <v>102</v>
      </c>
    </row>
    <row r="1204" spans="33:37" x14ac:dyDescent="0.4">
      <c r="AG1204" s="72" t="s">
        <v>98</v>
      </c>
      <c r="AH1204" s="72" t="s">
        <v>105</v>
      </c>
      <c r="AI1204" s="72" t="s">
        <v>100</v>
      </c>
      <c r="AJ1204" s="72" t="s">
        <v>98</v>
      </c>
      <c r="AK1204" s="15" t="s">
        <v>102</v>
      </c>
    </row>
    <row r="1205" spans="33:37" x14ac:dyDescent="0.4">
      <c r="AG1205" s="72" t="s">
        <v>98</v>
      </c>
      <c r="AH1205" s="72" t="s">
        <v>105</v>
      </c>
      <c r="AI1205" s="72" t="s">
        <v>108</v>
      </c>
      <c r="AJ1205" s="72" t="s">
        <v>101</v>
      </c>
      <c r="AK1205" s="15" t="s">
        <v>102</v>
      </c>
    </row>
    <row r="1206" spans="33:37" x14ac:dyDescent="0.4">
      <c r="AG1206" s="72" t="s">
        <v>98</v>
      </c>
      <c r="AH1206" s="72" t="s">
        <v>105</v>
      </c>
      <c r="AI1206" s="72" t="s">
        <v>108</v>
      </c>
      <c r="AJ1206" s="72" t="s">
        <v>100</v>
      </c>
      <c r="AK1206" s="15" t="s">
        <v>102</v>
      </c>
    </row>
    <row r="1207" spans="33:37" x14ac:dyDescent="0.4">
      <c r="AG1207" s="72" t="s">
        <v>98</v>
      </c>
      <c r="AH1207" s="72" t="s">
        <v>105</v>
      </c>
      <c r="AI1207" s="72" t="s">
        <v>108</v>
      </c>
      <c r="AJ1207" s="72" t="s">
        <v>108</v>
      </c>
      <c r="AK1207" s="15" t="s">
        <v>102</v>
      </c>
    </row>
    <row r="1208" spans="33:37" x14ac:dyDescent="0.4">
      <c r="AG1208" s="72" t="s">
        <v>98</v>
      </c>
      <c r="AH1208" s="72" t="s">
        <v>105</v>
      </c>
      <c r="AI1208" s="72" t="s">
        <v>108</v>
      </c>
      <c r="AJ1208" s="72" t="s">
        <v>105</v>
      </c>
      <c r="AK1208" s="15" t="s">
        <v>102</v>
      </c>
    </row>
    <row r="1209" spans="33:37" x14ac:dyDescent="0.4">
      <c r="AG1209" s="72" t="s">
        <v>98</v>
      </c>
      <c r="AH1209" s="72" t="s">
        <v>105</v>
      </c>
      <c r="AI1209" s="72" t="s">
        <v>108</v>
      </c>
      <c r="AJ1209" s="73" t="s">
        <v>112</v>
      </c>
      <c r="AK1209" s="15" t="s">
        <v>102</v>
      </c>
    </row>
    <row r="1210" spans="33:37" x14ac:dyDescent="0.4">
      <c r="AG1210" s="72" t="s">
        <v>98</v>
      </c>
      <c r="AH1210" s="72" t="s">
        <v>105</v>
      </c>
      <c r="AI1210" s="72" t="s">
        <v>108</v>
      </c>
      <c r="AJ1210" s="72" t="s">
        <v>98</v>
      </c>
      <c r="AK1210" s="15" t="s">
        <v>102</v>
      </c>
    </row>
    <row r="1211" spans="33:37" x14ac:dyDescent="0.4">
      <c r="AG1211" s="72" t="s">
        <v>98</v>
      </c>
      <c r="AH1211" s="72" t="s">
        <v>105</v>
      </c>
      <c r="AI1211" s="72" t="s">
        <v>105</v>
      </c>
      <c r="AJ1211" s="72" t="s">
        <v>101</v>
      </c>
      <c r="AK1211" s="15" t="s">
        <v>102</v>
      </c>
    </row>
    <row r="1212" spans="33:37" x14ac:dyDescent="0.4">
      <c r="AG1212" s="72" t="s">
        <v>98</v>
      </c>
      <c r="AH1212" s="72" t="s">
        <v>105</v>
      </c>
      <c r="AI1212" s="72" t="s">
        <v>105</v>
      </c>
      <c r="AJ1212" s="72" t="s">
        <v>100</v>
      </c>
      <c r="AK1212" s="15" t="s">
        <v>102</v>
      </c>
    </row>
    <row r="1213" spans="33:37" x14ac:dyDescent="0.4">
      <c r="AG1213" s="72" t="s">
        <v>98</v>
      </c>
      <c r="AH1213" s="72" t="s">
        <v>105</v>
      </c>
      <c r="AI1213" s="72" t="s">
        <v>105</v>
      </c>
      <c r="AJ1213" s="72" t="s">
        <v>108</v>
      </c>
      <c r="AK1213" s="15" t="s">
        <v>102</v>
      </c>
    </row>
    <row r="1214" spans="33:37" x14ac:dyDescent="0.4">
      <c r="AG1214" s="72" t="s">
        <v>98</v>
      </c>
      <c r="AH1214" s="72" t="s">
        <v>105</v>
      </c>
      <c r="AI1214" s="72" t="s">
        <v>105</v>
      </c>
      <c r="AJ1214" s="72" t="s">
        <v>105</v>
      </c>
      <c r="AK1214" s="15" t="s">
        <v>102</v>
      </c>
    </row>
    <row r="1215" spans="33:37" x14ac:dyDescent="0.4">
      <c r="AG1215" s="72" t="s">
        <v>98</v>
      </c>
      <c r="AH1215" s="72" t="s">
        <v>105</v>
      </c>
      <c r="AI1215" s="72" t="s">
        <v>105</v>
      </c>
      <c r="AJ1215" s="73" t="s">
        <v>112</v>
      </c>
      <c r="AK1215" s="15" t="s">
        <v>133</v>
      </c>
    </row>
    <row r="1216" spans="33:37" x14ac:dyDescent="0.4">
      <c r="AG1216" s="72" t="s">
        <v>98</v>
      </c>
      <c r="AH1216" s="72" t="s">
        <v>105</v>
      </c>
      <c r="AI1216" s="72" t="s">
        <v>105</v>
      </c>
      <c r="AJ1216" s="72" t="s">
        <v>98</v>
      </c>
      <c r="AK1216" s="15" t="s">
        <v>133</v>
      </c>
    </row>
    <row r="1217" spans="33:37" x14ac:dyDescent="0.4">
      <c r="AG1217" s="72" t="s">
        <v>98</v>
      </c>
      <c r="AH1217" s="72" t="s">
        <v>105</v>
      </c>
      <c r="AI1217" s="73" t="s">
        <v>112</v>
      </c>
      <c r="AJ1217" s="72" t="s">
        <v>101</v>
      </c>
      <c r="AK1217" s="15" t="s">
        <v>102</v>
      </c>
    </row>
    <row r="1218" spans="33:37" x14ac:dyDescent="0.4">
      <c r="AG1218" s="72" t="s">
        <v>98</v>
      </c>
      <c r="AH1218" s="72" t="s">
        <v>105</v>
      </c>
      <c r="AI1218" s="73" t="s">
        <v>112</v>
      </c>
      <c r="AJ1218" s="72" t="s">
        <v>100</v>
      </c>
      <c r="AK1218" s="15" t="s">
        <v>102</v>
      </c>
    </row>
    <row r="1219" spans="33:37" x14ac:dyDescent="0.4">
      <c r="AG1219" s="72" t="s">
        <v>98</v>
      </c>
      <c r="AH1219" s="72" t="s">
        <v>105</v>
      </c>
      <c r="AI1219" s="73" t="s">
        <v>112</v>
      </c>
      <c r="AJ1219" s="72" t="s">
        <v>108</v>
      </c>
      <c r="AK1219" s="15" t="s">
        <v>102</v>
      </c>
    </row>
    <row r="1220" spans="33:37" x14ac:dyDescent="0.4">
      <c r="AG1220" s="72" t="s">
        <v>98</v>
      </c>
      <c r="AH1220" s="72" t="s">
        <v>105</v>
      </c>
      <c r="AI1220" s="73" t="s">
        <v>112</v>
      </c>
      <c r="AJ1220" s="72" t="s">
        <v>105</v>
      </c>
      <c r="AK1220" s="15" t="s">
        <v>102</v>
      </c>
    </row>
    <row r="1221" spans="33:37" x14ac:dyDescent="0.4">
      <c r="AG1221" s="72" t="s">
        <v>98</v>
      </c>
      <c r="AH1221" s="72" t="s">
        <v>105</v>
      </c>
      <c r="AI1221" s="73" t="s">
        <v>112</v>
      </c>
      <c r="AJ1221" s="73" t="s">
        <v>112</v>
      </c>
      <c r="AK1221" s="15" t="s">
        <v>133</v>
      </c>
    </row>
    <row r="1222" spans="33:37" x14ac:dyDescent="0.4">
      <c r="AG1222" s="72" t="s">
        <v>98</v>
      </c>
      <c r="AH1222" s="72" t="s">
        <v>105</v>
      </c>
      <c r="AI1222" s="73" t="s">
        <v>112</v>
      </c>
      <c r="AJ1222" s="72" t="s">
        <v>98</v>
      </c>
      <c r="AK1222" s="15" t="s">
        <v>133</v>
      </c>
    </row>
    <row r="1223" spans="33:37" x14ac:dyDescent="0.4">
      <c r="AG1223" s="72" t="s">
        <v>98</v>
      </c>
      <c r="AH1223" s="72" t="s">
        <v>105</v>
      </c>
      <c r="AI1223" s="72" t="s">
        <v>98</v>
      </c>
      <c r="AJ1223" s="72" t="s">
        <v>101</v>
      </c>
      <c r="AK1223" s="15" t="s">
        <v>102</v>
      </c>
    </row>
    <row r="1224" spans="33:37" x14ac:dyDescent="0.4">
      <c r="AG1224" s="72" t="s">
        <v>98</v>
      </c>
      <c r="AH1224" s="72" t="s">
        <v>105</v>
      </c>
      <c r="AI1224" s="72" t="s">
        <v>98</v>
      </c>
      <c r="AJ1224" s="72" t="s">
        <v>100</v>
      </c>
      <c r="AK1224" s="15" t="s">
        <v>102</v>
      </c>
    </row>
    <row r="1225" spans="33:37" x14ac:dyDescent="0.4">
      <c r="AG1225" s="72" t="s">
        <v>98</v>
      </c>
      <c r="AH1225" s="72" t="s">
        <v>105</v>
      </c>
      <c r="AI1225" s="72" t="s">
        <v>98</v>
      </c>
      <c r="AJ1225" s="72" t="s">
        <v>108</v>
      </c>
      <c r="AK1225" s="15" t="s">
        <v>102</v>
      </c>
    </row>
    <row r="1226" spans="33:37" x14ac:dyDescent="0.4">
      <c r="AG1226" s="72" t="s">
        <v>98</v>
      </c>
      <c r="AH1226" s="72" t="s">
        <v>105</v>
      </c>
      <c r="AI1226" s="72" t="s">
        <v>98</v>
      </c>
      <c r="AJ1226" s="72" t="s">
        <v>105</v>
      </c>
      <c r="AK1226" s="15" t="s">
        <v>102</v>
      </c>
    </row>
    <row r="1227" spans="33:37" x14ac:dyDescent="0.4">
      <c r="AG1227" s="72" t="s">
        <v>98</v>
      </c>
      <c r="AH1227" s="72" t="s">
        <v>105</v>
      </c>
      <c r="AI1227" s="72" t="s">
        <v>98</v>
      </c>
      <c r="AJ1227" s="73" t="s">
        <v>112</v>
      </c>
      <c r="AK1227" s="15" t="s">
        <v>133</v>
      </c>
    </row>
    <row r="1228" spans="33:37" x14ac:dyDescent="0.4">
      <c r="AG1228" s="72" t="s">
        <v>98</v>
      </c>
      <c r="AH1228" s="72" t="s">
        <v>105</v>
      </c>
      <c r="AI1228" s="72" t="s">
        <v>98</v>
      </c>
      <c r="AJ1228" s="72" t="s">
        <v>98</v>
      </c>
      <c r="AK1228" s="15" t="s">
        <v>133</v>
      </c>
    </row>
    <row r="1229" spans="33:37" x14ac:dyDescent="0.4">
      <c r="AG1229" s="72" t="s">
        <v>98</v>
      </c>
      <c r="AH1229" s="73" t="s">
        <v>112</v>
      </c>
      <c r="AI1229" s="72" t="s">
        <v>101</v>
      </c>
      <c r="AJ1229" s="72" t="s">
        <v>101</v>
      </c>
      <c r="AK1229" s="15" t="s">
        <v>102</v>
      </c>
    </row>
    <row r="1230" spans="33:37" x14ac:dyDescent="0.4">
      <c r="AG1230" s="72" t="s">
        <v>98</v>
      </c>
      <c r="AH1230" s="73" t="s">
        <v>112</v>
      </c>
      <c r="AI1230" s="72" t="s">
        <v>101</v>
      </c>
      <c r="AJ1230" s="72" t="s">
        <v>100</v>
      </c>
      <c r="AK1230" s="15" t="s">
        <v>102</v>
      </c>
    </row>
    <row r="1231" spans="33:37" x14ac:dyDescent="0.4">
      <c r="AG1231" s="72" t="s">
        <v>98</v>
      </c>
      <c r="AH1231" s="73" t="s">
        <v>112</v>
      </c>
      <c r="AI1231" s="72" t="s">
        <v>101</v>
      </c>
      <c r="AJ1231" s="72" t="s">
        <v>108</v>
      </c>
      <c r="AK1231" s="15" t="s">
        <v>102</v>
      </c>
    </row>
    <row r="1232" spans="33:37" x14ac:dyDescent="0.4">
      <c r="AG1232" s="72" t="s">
        <v>98</v>
      </c>
      <c r="AH1232" s="73" t="s">
        <v>112</v>
      </c>
      <c r="AI1232" s="72" t="s">
        <v>101</v>
      </c>
      <c r="AJ1232" s="72" t="s">
        <v>105</v>
      </c>
      <c r="AK1232" s="15" t="s">
        <v>102</v>
      </c>
    </row>
    <row r="1233" spans="33:37" x14ac:dyDescent="0.4">
      <c r="AG1233" s="72" t="s">
        <v>98</v>
      </c>
      <c r="AH1233" s="73" t="s">
        <v>112</v>
      </c>
      <c r="AI1233" s="72" t="s">
        <v>101</v>
      </c>
      <c r="AJ1233" s="73" t="s">
        <v>112</v>
      </c>
      <c r="AK1233" s="15" t="s">
        <v>102</v>
      </c>
    </row>
    <row r="1234" spans="33:37" x14ac:dyDescent="0.4">
      <c r="AG1234" s="72" t="s">
        <v>98</v>
      </c>
      <c r="AH1234" s="73" t="s">
        <v>112</v>
      </c>
      <c r="AI1234" s="72" t="s">
        <v>101</v>
      </c>
      <c r="AJ1234" s="72" t="s">
        <v>98</v>
      </c>
      <c r="AK1234" s="15" t="s">
        <v>102</v>
      </c>
    </row>
    <row r="1235" spans="33:37" x14ac:dyDescent="0.4">
      <c r="AG1235" s="72" t="s">
        <v>98</v>
      </c>
      <c r="AH1235" s="73" t="s">
        <v>112</v>
      </c>
      <c r="AI1235" s="72" t="s">
        <v>100</v>
      </c>
      <c r="AJ1235" s="72" t="s">
        <v>101</v>
      </c>
      <c r="AK1235" s="15" t="s">
        <v>102</v>
      </c>
    </row>
    <row r="1236" spans="33:37" x14ac:dyDescent="0.4">
      <c r="AG1236" s="72" t="s">
        <v>98</v>
      </c>
      <c r="AH1236" s="73" t="s">
        <v>112</v>
      </c>
      <c r="AI1236" s="72" t="s">
        <v>100</v>
      </c>
      <c r="AJ1236" s="72" t="s">
        <v>100</v>
      </c>
      <c r="AK1236" s="15" t="s">
        <v>102</v>
      </c>
    </row>
    <row r="1237" spans="33:37" x14ac:dyDescent="0.4">
      <c r="AG1237" s="72" t="s">
        <v>98</v>
      </c>
      <c r="AH1237" s="73" t="s">
        <v>112</v>
      </c>
      <c r="AI1237" s="72" t="s">
        <v>100</v>
      </c>
      <c r="AJ1237" s="72" t="s">
        <v>108</v>
      </c>
      <c r="AK1237" s="15" t="s">
        <v>102</v>
      </c>
    </row>
    <row r="1238" spans="33:37" x14ac:dyDescent="0.4">
      <c r="AG1238" s="72" t="s">
        <v>98</v>
      </c>
      <c r="AH1238" s="73" t="s">
        <v>112</v>
      </c>
      <c r="AI1238" s="72" t="s">
        <v>100</v>
      </c>
      <c r="AJ1238" s="72" t="s">
        <v>105</v>
      </c>
      <c r="AK1238" s="15" t="s">
        <v>102</v>
      </c>
    </row>
    <row r="1239" spans="33:37" x14ac:dyDescent="0.4">
      <c r="AG1239" s="72" t="s">
        <v>98</v>
      </c>
      <c r="AH1239" s="73" t="s">
        <v>112</v>
      </c>
      <c r="AI1239" s="72" t="s">
        <v>100</v>
      </c>
      <c r="AJ1239" s="73" t="s">
        <v>112</v>
      </c>
      <c r="AK1239" s="15" t="s">
        <v>102</v>
      </c>
    </row>
    <row r="1240" spans="33:37" x14ac:dyDescent="0.4">
      <c r="AG1240" s="72" t="s">
        <v>98</v>
      </c>
      <c r="AH1240" s="73" t="s">
        <v>112</v>
      </c>
      <c r="AI1240" s="72" t="s">
        <v>100</v>
      </c>
      <c r="AJ1240" s="72" t="s">
        <v>98</v>
      </c>
      <c r="AK1240" s="15" t="s">
        <v>102</v>
      </c>
    </row>
    <row r="1241" spans="33:37" x14ac:dyDescent="0.4">
      <c r="AG1241" s="72" t="s">
        <v>98</v>
      </c>
      <c r="AH1241" s="73" t="s">
        <v>112</v>
      </c>
      <c r="AI1241" s="72" t="s">
        <v>108</v>
      </c>
      <c r="AJ1241" s="72" t="s">
        <v>101</v>
      </c>
      <c r="AK1241" s="15" t="s">
        <v>102</v>
      </c>
    </row>
    <row r="1242" spans="33:37" x14ac:dyDescent="0.4">
      <c r="AG1242" s="72" t="s">
        <v>98</v>
      </c>
      <c r="AH1242" s="73" t="s">
        <v>112</v>
      </c>
      <c r="AI1242" s="72" t="s">
        <v>108</v>
      </c>
      <c r="AJ1242" s="72" t="s">
        <v>100</v>
      </c>
      <c r="AK1242" s="15" t="s">
        <v>102</v>
      </c>
    </row>
    <row r="1243" spans="33:37" x14ac:dyDescent="0.4">
      <c r="AG1243" s="72" t="s">
        <v>98</v>
      </c>
      <c r="AH1243" s="73" t="s">
        <v>112</v>
      </c>
      <c r="AI1243" s="72" t="s">
        <v>108</v>
      </c>
      <c r="AJ1243" s="72" t="s">
        <v>108</v>
      </c>
      <c r="AK1243" s="15" t="s">
        <v>102</v>
      </c>
    </row>
    <row r="1244" spans="33:37" x14ac:dyDescent="0.4">
      <c r="AG1244" s="72" t="s">
        <v>98</v>
      </c>
      <c r="AH1244" s="73" t="s">
        <v>112</v>
      </c>
      <c r="AI1244" s="72" t="s">
        <v>108</v>
      </c>
      <c r="AJ1244" s="72" t="s">
        <v>105</v>
      </c>
      <c r="AK1244" s="15" t="s">
        <v>102</v>
      </c>
    </row>
    <row r="1245" spans="33:37" x14ac:dyDescent="0.4">
      <c r="AG1245" s="72" t="s">
        <v>98</v>
      </c>
      <c r="AH1245" s="73" t="s">
        <v>112</v>
      </c>
      <c r="AI1245" s="72" t="s">
        <v>108</v>
      </c>
      <c r="AJ1245" s="73" t="s">
        <v>112</v>
      </c>
      <c r="AK1245" s="15" t="s">
        <v>102</v>
      </c>
    </row>
    <row r="1246" spans="33:37" x14ac:dyDescent="0.4">
      <c r="AG1246" s="72" t="s">
        <v>98</v>
      </c>
      <c r="AH1246" s="73" t="s">
        <v>112</v>
      </c>
      <c r="AI1246" s="72" t="s">
        <v>108</v>
      </c>
      <c r="AJ1246" s="72" t="s">
        <v>98</v>
      </c>
      <c r="AK1246" s="15" t="s">
        <v>102</v>
      </c>
    </row>
    <row r="1247" spans="33:37" x14ac:dyDescent="0.4">
      <c r="AG1247" s="72" t="s">
        <v>98</v>
      </c>
      <c r="AH1247" s="73" t="s">
        <v>112</v>
      </c>
      <c r="AI1247" s="72" t="s">
        <v>105</v>
      </c>
      <c r="AJ1247" s="72" t="s">
        <v>101</v>
      </c>
      <c r="AK1247" s="15" t="s">
        <v>102</v>
      </c>
    </row>
    <row r="1248" spans="33:37" x14ac:dyDescent="0.4">
      <c r="AG1248" s="72" t="s">
        <v>98</v>
      </c>
      <c r="AH1248" s="73" t="s">
        <v>112</v>
      </c>
      <c r="AI1248" s="72" t="s">
        <v>105</v>
      </c>
      <c r="AJ1248" s="72" t="s">
        <v>100</v>
      </c>
      <c r="AK1248" s="15" t="s">
        <v>102</v>
      </c>
    </row>
    <row r="1249" spans="33:37" x14ac:dyDescent="0.4">
      <c r="AG1249" s="72" t="s">
        <v>98</v>
      </c>
      <c r="AH1249" s="73" t="s">
        <v>112</v>
      </c>
      <c r="AI1249" s="72" t="s">
        <v>105</v>
      </c>
      <c r="AJ1249" s="72" t="s">
        <v>108</v>
      </c>
      <c r="AK1249" s="15" t="s">
        <v>102</v>
      </c>
    </row>
    <row r="1250" spans="33:37" x14ac:dyDescent="0.4">
      <c r="AG1250" s="72" t="s">
        <v>98</v>
      </c>
      <c r="AH1250" s="73" t="s">
        <v>112</v>
      </c>
      <c r="AI1250" s="72" t="s">
        <v>105</v>
      </c>
      <c r="AJ1250" s="72" t="s">
        <v>105</v>
      </c>
      <c r="AK1250" s="15" t="s">
        <v>102</v>
      </c>
    </row>
    <row r="1251" spans="33:37" x14ac:dyDescent="0.4">
      <c r="AG1251" s="72" t="s">
        <v>98</v>
      </c>
      <c r="AH1251" s="73" t="s">
        <v>112</v>
      </c>
      <c r="AI1251" s="72" t="s">
        <v>105</v>
      </c>
      <c r="AJ1251" s="73" t="s">
        <v>112</v>
      </c>
      <c r="AK1251" s="15" t="s">
        <v>133</v>
      </c>
    </row>
    <row r="1252" spans="33:37" x14ac:dyDescent="0.4">
      <c r="AG1252" s="72" t="s">
        <v>98</v>
      </c>
      <c r="AH1252" s="73" t="s">
        <v>112</v>
      </c>
      <c r="AI1252" s="72" t="s">
        <v>105</v>
      </c>
      <c r="AJ1252" s="72" t="s">
        <v>98</v>
      </c>
      <c r="AK1252" s="15" t="s">
        <v>133</v>
      </c>
    </row>
    <row r="1253" spans="33:37" x14ac:dyDescent="0.4">
      <c r="AG1253" s="72" t="s">
        <v>98</v>
      </c>
      <c r="AH1253" s="73" t="s">
        <v>112</v>
      </c>
      <c r="AI1253" s="73" t="s">
        <v>112</v>
      </c>
      <c r="AJ1253" s="72" t="s">
        <v>101</v>
      </c>
      <c r="AK1253" s="15" t="s">
        <v>102</v>
      </c>
    </row>
    <row r="1254" spans="33:37" x14ac:dyDescent="0.4">
      <c r="AG1254" s="72" t="s">
        <v>98</v>
      </c>
      <c r="AH1254" s="73" t="s">
        <v>112</v>
      </c>
      <c r="AI1254" s="73" t="s">
        <v>112</v>
      </c>
      <c r="AJ1254" s="72" t="s">
        <v>100</v>
      </c>
      <c r="AK1254" s="15" t="s">
        <v>102</v>
      </c>
    </row>
    <row r="1255" spans="33:37" x14ac:dyDescent="0.4">
      <c r="AG1255" s="72" t="s">
        <v>98</v>
      </c>
      <c r="AH1255" s="73" t="s">
        <v>112</v>
      </c>
      <c r="AI1255" s="73" t="s">
        <v>112</v>
      </c>
      <c r="AJ1255" s="72" t="s">
        <v>108</v>
      </c>
      <c r="AK1255" s="15" t="s">
        <v>102</v>
      </c>
    </row>
    <row r="1256" spans="33:37" x14ac:dyDescent="0.4">
      <c r="AG1256" s="72" t="s">
        <v>98</v>
      </c>
      <c r="AH1256" s="73" t="s">
        <v>112</v>
      </c>
      <c r="AI1256" s="73" t="s">
        <v>112</v>
      </c>
      <c r="AJ1256" s="72" t="s">
        <v>105</v>
      </c>
      <c r="AK1256" s="15" t="s">
        <v>102</v>
      </c>
    </row>
    <row r="1257" spans="33:37" x14ac:dyDescent="0.4">
      <c r="AG1257" s="72" t="s">
        <v>98</v>
      </c>
      <c r="AH1257" s="73" t="s">
        <v>112</v>
      </c>
      <c r="AI1257" s="73" t="s">
        <v>112</v>
      </c>
      <c r="AJ1257" s="73" t="s">
        <v>112</v>
      </c>
      <c r="AK1257" s="15" t="s">
        <v>133</v>
      </c>
    </row>
    <row r="1258" spans="33:37" x14ac:dyDescent="0.4">
      <c r="AG1258" s="72" t="s">
        <v>98</v>
      </c>
      <c r="AH1258" s="73" t="s">
        <v>112</v>
      </c>
      <c r="AI1258" s="73" t="s">
        <v>112</v>
      </c>
      <c r="AJ1258" s="72" t="s">
        <v>98</v>
      </c>
      <c r="AK1258" s="15" t="s">
        <v>133</v>
      </c>
    </row>
    <row r="1259" spans="33:37" x14ac:dyDescent="0.4">
      <c r="AG1259" s="72" t="s">
        <v>98</v>
      </c>
      <c r="AH1259" s="73" t="s">
        <v>112</v>
      </c>
      <c r="AI1259" s="72" t="s">
        <v>98</v>
      </c>
      <c r="AJ1259" s="72" t="s">
        <v>101</v>
      </c>
      <c r="AK1259" s="15" t="s">
        <v>102</v>
      </c>
    </row>
    <row r="1260" spans="33:37" x14ac:dyDescent="0.4">
      <c r="AG1260" s="72" t="s">
        <v>98</v>
      </c>
      <c r="AH1260" s="73" t="s">
        <v>112</v>
      </c>
      <c r="AI1260" s="72" t="s">
        <v>98</v>
      </c>
      <c r="AJ1260" s="72" t="s">
        <v>100</v>
      </c>
      <c r="AK1260" s="15" t="s">
        <v>102</v>
      </c>
    </row>
    <row r="1261" spans="33:37" x14ac:dyDescent="0.4">
      <c r="AG1261" s="72" t="s">
        <v>98</v>
      </c>
      <c r="AH1261" s="73" t="s">
        <v>112</v>
      </c>
      <c r="AI1261" s="72" t="s">
        <v>98</v>
      </c>
      <c r="AJ1261" s="72" t="s">
        <v>108</v>
      </c>
      <c r="AK1261" s="15" t="s">
        <v>102</v>
      </c>
    </row>
    <row r="1262" spans="33:37" x14ac:dyDescent="0.4">
      <c r="AG1262" s="72" t="s">
        <v>98</v>
      </c>
      <c r="AH1262" s="73" t="s">
        <v>112</v>
      </c>
      <c r="AI1262" s="72" t="s">
        <v>98</v>
      </c>
      <c r="AJ1262" s="72" t="s">
        <v>105</v>
      </c>
      <c r="AK1262" s="15" t="s">
        <v>102</v>
      </c>
    </row>
    <row r="1263" spans="33:37" x14ac:dyDescent="0.4">
      <c r="AG1263" s="72" t="s">
        <v>98</v>
      </c>
      <c r="AH1263" s="73" t="s">
        <v>112</v>
      </c>
      <c r="AI1263" s="72" t="s">
        <v>98</v>
      </c>
      <c r="AJ1263" s="73" t="s">
        <v>112</v>
      </c>
      <c r="AK1263" s="15" t="s">
        <v>133</v>
      </c>
    </row>
    <row r="1264" spans="33:37" x14ac:dyDescent="0.4">
      <c r="AG1264" s="72" t="s">
        <v>98</v>
      </c>
      <c r="AH1264" s="73" t="s">
        <v>112</v>
      </c>
      <c r="AI1264" s="72" t="s">
        <v>98</v>
      </c>
      <c r="AJ1264" s="72" t="s">
        <v>98</v>
      </c>
      <c r="AK1264" s="15" t="s">
        <v>133</v>
      </c>
    </row>
    <row r="1265" spans="33:37" x14ac:dyDescent="0.4">
      <c r="AG1265" s="72" t="s">
        <v>98</v>
      </c>
      <c r="AH1265" s="72" t="s">
        <v>98</v>
      </c>
      <c r="AI1265" s="72" t="s">
        <v>101</v>
      </c>
      <c r="AJ1265" s="72" t="s">
        <v>101</v>
      </c>
      <c r="AK1265" s="15" t="s">
        <v>102</v>
      </c>
    </row>
    <row r="1266" spans="33:37" x14ac:dyDescent="0.4">
      <c r="AG1266" s="72" t="s">
        <v>98</v>
      </c>
      <c r="AH1266" s="72" t="s">
        <v>98</v>
      </c>
      <c r="AI1266" s="72" t="s">
        <v>101</v>
      </c>
      <c r="AJ1266" s="72" t="s">
        <v>100</v>
      </c>
      <c r="AK1266" s="15" t="s">
        <v>102</v>
      </c>
    </row>
    <row r="1267" spans="33:37" x14ac:dyDescent="0.4">
      <c r="AG1267" s="72" t="s">
        <v>98</v>
      </c>
      <c r="AH1267" s="72" t="s">
        <v>98</v>
      </c>
      <c r="AI1267" s="72" t="s">
        <v>101</v>
      </c>
      <c r="AJ1267" s="72" t="s">
        <v>108</v>
      </c>
      <c r="AK1267" s="15" t="s">
        <v>102</v>
      </c>
    </row>
    <row r="1268" spans="33:37" x14ac:dyDescent="0.4">
      <c r="AG1268" s="72" t="s">
        <v>98</v>
      </c>
      <c r="AH1268" s="72" t="s">
        <v>98</v>
      </c>
      <c r="AI1268" s="72" t="s">
        <v>101</v>
      </c>
      <c r="AJ1268" s="72" t="s">
        <v>105</v>
      </c>
      <c r="AK1268" s="15" t="s">
        <v>102</v>
      </c>
    </row>
    <row r="1269" spans="33:37" x14ac:dyDescent="0.4">
      <c r="AG1269" s="72" t="s">
        <v>98</v>
      </c>
      <c r="AH1269" s="72" t="s">
        <v>98</v>
      </c>
      <c r="AI1269" s="72" t="s">
        <v>101</v>
      </c>
      <c r="AJ1269" s="73" t="s">
        <v>112</v>
      </c>
      <c r="AK1269" s="15" t="s">
        <v>102</v>
      </c>
    </row>
    <row r="1270" spans="33:37" x14ac:dyDescent="0.4">
      <c r="AG1270" s="72" t="s">
        <v>98</v>
      </c>
      <c r="AH1270" s="72" t="s">
        <v>98</v>
      </c>
      <c r="AI1270" s="72" t="s">
        <v>101</v>
      </c>
      <c r="AJ1270" s="72" t="s">
        <v>98</v>
      </c>
      <c r="AK1270" s="15" t="s">
        <v>102</v>
      </c>
    </row>
    <row r="1271" spans="33:37" x14ac:dyDescent="0.4">
      <c r="AG1271" s="72" t="s">
        <v>98</v>
      </c>
      <c r="AH1271" s="72" t="s">
        <v>98</v>
      </c>
      <c r="AI1271" s="72" t="s">
        <v>100</v>
      </c>
      <c r="AJ1271" s="72" t="s">
        <v>101</v>
      </c>
      <c r="AK1271" s="15" t="s">
        <v>102</v>
      </c>
    </row>
    <row r="1272" spans="33:37" x14ac:dyDescent="0.4">
      <c r="AG1272" s="72" t="s">
        <v>98</v>
      </c>
      <c r="AH1272" s="72" t="s">
        <v>98</v>
      </c>
      <c r="AI1272" s="72" t="s">
        <v>100</v>
      </c>
      <c r="AJ1272" s="72" t="s">
        <v>100</v>
      </c>
      <c r="AK1272" s="15" t="s">
        <v>102</v>
      </c>
    </row>
    <row r="1273" spans="33:37" x14ac:dyDescent="0.4">
      <c r="AG1273" s="72" t="s">
        <v>98</v>
      </c>
      <c r="AH1273" s="72" t="s">
        <v>98</v>
      </c>
      <c r="AI1273" s="72" t="s">
        <v>100</v>
      </c>
      <c r="AJ1273" s="72" t="s">
        <v>108</v>
      </c>
      <c r="AK1273" s="15" t="s">
        <v>102</v>
      </c>
    </row>
    <row r="1274" spans="33:37" x14ac:dyDescent="0.4">
      <c r="AG1274" s="72" t="s">
        <v>98</v>
      </c>
      <c r="AH1274" s="72" t="s">
        <v>98</v>
      </c>
      <c r="AI1274" s="72" t="s">
        <v>100</v>
      </c>
      <c r="AJ1274" s="72" t="s">
        <v>105</v>
      </c>
      <c r="AK1274" s="15" t="s">
        <v>102</v>
      </c>
    </row>
    <row r="1275" spans="33:37" x14ac:dyDescent="0.4">
      <c r="AG1275" s="72" t="s">
        <v>98</v>
      </c>
      <c r="AH1275" s="72" t="s">
        <v>98</v>
      </c>
      <c r="AI1275" s="72" t="s">
        <v>100</v>
      </c>
      <c r="AJ1275" s="73" t="s">
        <v>112</v>
      </c>
      <c r="AK1275" s="15" t="s">
        <v>102</v>
      </c>
    </row>
    <row r="1276" spans="33:37" x14ac:dyDescent="0.4">
      <c r="AG1276" s="72" t="s">
        <v>98</v>
      </c>
      <c r="AH1276" s="72" t="s">
        <v>98</v>
      </c>
      <c r="AI1276" s="72" t="s">
        <v>100</v>
      </c>
      <c r="AJ1276" s="72" t="s">
        <v>98</v>
      </c>
      <c r="AK1276" s="15" t="s">
        <v>102</v>
      </c>
    </row>
    <row r="1277" spans="33:37" x14ac:dyDescent="0.4">
      <c r="AG1277" s="72" t="s">
        <v>98</v>
      </c>
      <c r="AH1277" s="72" t="s">
        <v>98</v>
      </c>
      <c r="AI1277" s="72" t="s">
        <v>108</v>
      </c>
      <c r="AJ1277" s="72" t="s">
        <v>101</v>
      </c>
      <c r="AK1277" s="15" t="s">
        <v>102</v>
      </c>
    </row>
    <row r="1278" spans="33:37" x14ac:dyDescent="0.4">
      <c r="AG1278" s="72" t="s">
        <v>98</v>
      </c>
      <c r="AH1278" s="72" t="s">
        <v>98</v>
      </c>
      <c r="AI1278" s="72" t="s">
        <v>108</v>
      </c>
      <c r="AJ1278" s="72" t="s">
        <v>100</v>
      </c>
      <c r="AK1278" s="15" t="s">
        <v>102</v>
      </c>
    </row>
    <row r="1279" spans="33:37" x14ac:dyDescent="0.4">
      <c r="AG1279" s="72" t="s">
        <v>98</v>
      </c>
      <c r="AH1279" s="72" t="s">
        <v>98</v>
      </c>
      <c r="AI1279" s="72" t="s">
        <v>108</v>
      </c>
      <c r="AJ1279" s="72" t="s">
        <v>108</v>
      </c>
      <c r="AK1279" s="15" t="s">
        <v>102</v>
      </c>
    </row>
    <row r="1280" spans="33:37" x14ac:dyDescent="0.4">
      <c r="AG1280" s="72" t="s">
        <v>98</v>
      </c>
      <c r="AH1280" s="72" t="s">
        <v>98</v>
      </c>
      <c r="AI1280" s="72" t="s">
        <v>108</v>
      </c>
      <c r="AJ1280" s="72" t="s">
        <v>105</v>
      </c>
      <c r="AK1280" s="15" t="s">
        <v>102</v>
      </c>
    </row>
    <row r="1281" spans="33:37" x14ac:dyDescent="0.4">
      <c r="AG1281" s="72" t="s">
        <v>98</v>
      </c>
      <c r="AH1281" s="72" t="s">
        <v>98</v>
      </c>
      <c r="AI1281" s="72" t="s">
        <v>108</v>
      </c>
      <c r="AJ1281" s="73" t="s">
        <v>112</v>
      </c>
      <c r="AK1281" s="15" t="s">
        <v>102</v>
      </c>
    </row>
    <row r="1282" spans="33:37" x14ac:dyDescent="0.4">
      <c r="AG1282" s="72" t="s">
        <v>98</v>
      </c>
      <c r="AH1282" s="72" t="s">
        <v>98</v>
      </c>
      <c r="AI1282" s="72" t="s">
        <v>108</v>
      </c>
      <c r="AJ1282" s="72" t="s">
        <v>98</v>
      </c>
      <c r="AK1282" s="15" t="s">
        <v>102</v>
      </c>
    </row>
    <row r="1283" spans="33:37" x14ac:dyDescent="0.4">
      <c r="AG1283" s="72" t="s">
        <v>98</v>
      </c>
      <c r="AH1283" s="72" t="s">
        <v>98</v>
      </c>
      <c r="AI1283" s="72" t="s">
        <v>105</v>
      </c>
      <c r="AJ1283" s="72" t="s">
        <v>101</v>
      </c>
      <c r="AK1283" s="15" t="s">
        <v>102</v>
      </c>
    </row>
    <row r="1284" spans="33:37" x14ac:dyDescent="0.4">
      <c r="AG1284" s="72" t="s">
        <v>98</v>
      </c>
      <c r="AH1284" s="72" t="s">
        <v>98</v>
      </c>
      <c r="AI1284" s="72" t="s">
        <v>105</v>
      </c>
      <c r="AJ1284" s="72" t="s">
        <v>100</v>
      </c>
      <c r="AK1284" s="15" t="s">
        <v>102</v>
      </c>
    </row>
    <row r="1285" spans="33:37" x14ac:dyDescent="0.4">
      <c r="AG1285" s="72" t="s">
        <v>98</v>
      </c>
      <c r="AH1285" s="72" t="s">
        <v>98</v>
      </c>
      <c r="AI1285" s="72" t="s">
        <v>105</v>
      </c>
      <c r="AJ1285" s="72" t="s">
        <v>108</v>
      </c>
      <c r="AK1285" s="15" t="s">
        <v>102</v>
      </c>
    </row>
    <row r="1286" spans="33:37" x14ac:dyDescent="0.4">
      <c r="AG1286" s="72" t="s">
        <v>98</v>
      </c>
      <c r="AH1286" s="72" t="s">
        <v>98</v>
      </c>
      <c r="AI1286" s="72" t="s">
        <v>105</v>
      </c>
      <c r="AJ1286" s="72" t="s">
        <v>105</v>
      </c>
      <c r="AK1286" s="15" t="s">
        <v>102</v>
      </c>
    </row>
    <row r="1287" spans="33:37" x14ac:dyDescent="0.4">
      <c r="AG1287" s="72" t="s">
        <v>98</v>
      </c>
      <c r="AH1287" s="72" t="s">
        <v>98</v>
      </c>
      <c r="AI1287" s="72" t="s">
        <v>105</v>
      </c>
      <c r="AJ1287" s="73" t="s">
        <v>112</v>
      </c>
      <c r="AK1287" s="15" t="s">
        <v>133</v>
      </c>
    </row>
    <row r="1288" spans="33:37" x14ac:dyDescent="0.4">
      <c r="AG1288" s="72" t="s">
        <v>98</v>
      </c>
      <c r="AH1288" s="72" t="s">
        <v>98</v>
      </c>
      <c r="AI1288" s="72" t="s">
        <v>105</v>
      </c>
      <c r="AJ1288" s="72" t="s">
        <v>98</v>
      </c>
      <c r="AK1288" s="15" t="s">
        <v>133</v>
      </c>
    </row>
    <row r="1289" spans="33:37" x14ac:dyDescent="0.4">
      <c r="AG1289" s="72" t="s">
        <v>98</v>
      </c>
      <c r="AH1289" s="72" t="s">
        <v>98</v>
      </c>
      <c r="AI1289" s="73" t="s">
        <v>112</v>
      </c>
      <c r="AJ1289" s="72" t="s">
        <v>101</v>
      </c>
      <c r="AK1289" s="15" t="s">
        <v>102</v>
      </c>
    </row>
    <row r="1290" spans="33:37" x14ac:dyDescent="0.4">
      <c r="AG1290" s="72" t="s">
        <v>98</v>
      </c>
      <c r="AH1290" s="72" t="s">
        <v>98</v>
      </c>
      <c r="AI1290" s="73" t="s">
        <v>112</v>
      </c>
      <c r="AJ1290" s="72" t="s">
        <v>100</v>
      </c>
      <c r="AK1290" s="15" t="s">
        <v>102</v>
      </c>
    </row>
    <row r="1291" spans="33:37" x14ac:dyDescent="0.4">
      <c r="AG1291" s="72" t="s">
        <v>98</v>
      </c>
      <c r="AH1291" s="72" t="s">
        <v>98</v>
      </c>
      <c r="AI1291" s="73" t="s">
        <v>112</v>
      </c>
      <c r="AJ1291" s="72" t="s">
        <v>108</v>
      </c>
      <c r="AK1291" s="15" t="s">
        <v>102</v>
      </c>
    </row>
    <row r="1292" spans="33:37" x14ac:dyDescent="0.4">
      <c r="AG1292" s="72" t="s">
        <v>98</v>
      </c>
      <c r="AH1292" s="72" t="s">
        <v>98</v>
      </c>
      <c r="AI1292" s="73" t="s">
        <v>112</v>
      </c>
      <c r="AJ1292" s="72" t="s">
        <v>105</v>
      </c>
      <c r="AK1292" s="15" t="s">
        <v>102</v>
      </c>
    </row>
    <row r="1293" spans="33:37" x14ac:dyDescent="0.4">
      <c r="AG1293" s="72" t="s">
        <v>98</v>
      </c>
      <c r="AH1293" s="72" t="s">
        <v>98</v>
      </c>
      <c r="AI1293" s="73" t="s">
        <v>112</v>
      </c>
      <c r="AJ1293" s="73" t="s">
        <v>112</v>
      </c>
      <c r="AK1293" s="15" t="s">
        <v>133</v>
      </c>
    </row>
    <row r="1294" spans="33:37" x14ac:dyDescent="0.4">
      <c r="AG1294" s="72" t="s">
        <v>98</v>
      </c>
      <c r="AH1294" s="72" t="s">
        <v>98</v>
      </c>
      <c r="AI1294" s="73" t="s">
        <v>112</v>
      </c>
      <c r="AJ1294" s="72" t="s">
        <v>98</v>
      </c>
      <c r="AK1294" s="15" t="s">
        <v>133</v>
      </c>
    </row>
    <row r="1295" spans="33:37" x14ac:dyDescent="0.4">
      <c r="AG1295" s="72" t="s">
        <v>98</v>
      </c>
      <c r="AH1295" s="72" t="s">
        <v>98</v>
      </c>
      <c r="AI1295" s="72" t="s">
        <v>98</v>
      </c>
      <c r="AJ1295" s="72" t="s">
        <v>101</v>
      </c>
      <c r="AK1295" s="15" t="s">
        <v>102</v>
      </c>
    </row>
    <row r="1296" spans="33:37" x14ac:dyDescent="0.4">
      <c r="AG1296" s="72" t="s">
        <v>98</v>
      </c>
      <c r="AH1296" s="72" t="s">
        <v>98</v>
      </c>
      <c r="AI1296" s="72" t="s">
        <v>98</v>
      </c>
      <c r="AJ1296" s="72" t="s">
        <v>100</v>
      </c>
      <c r="AK1296" s="15" t="s">
        <v>102</v>
      </c>
    </row>
    <row r="1297" spans="33:37" x14ac:dyDescent="0.4">
      <c r="AG1297" s="72" t="s">
        <v>98</v>
      </c>
      <c r="AH1297" s="72" t="s">
        <v>98</v>
      </c>
      <c r="AI1297" s="72" t="s">
        <v>98</v>
      </c>
      <c r="AJ1297" s="72" t="s">
        <v>108</v>
      </c>
      <c r="AK1297" s="15" t="s">
        <v>102</v>
      </c>
    </row>
    <row r="1298" spans="33:37" x14ac:dyDescent="0.4">
      <c r="AG1298" s="72" t="s">
        <v>98</v>
      </c>
      <c r="AH1298" s="72" t="s">
        <v>98</v>
      </c>
      <c r="AI1298" s="72" t="s">
        <v>98</v>
      </c>
      <c r="AJ1298" s="72" t="s">
        <v>105</v>
      </c>
      <c r="AK1298" s="15" t="s">
        <v>102</v>
      </c>
    </row>
    <row r="1299" spans="33:37" x14ac:dyDescent="0.4">
      <c r="AG1299" s="72" t="s">
        <v>98</v>
      </c>
      <c r="AH1299" s="72" t="s">
        <v>98</v>
      </c>
      <c r="AI1299" s="72" t="s">
        <v>98</v>
      </c>
      <c r="AJ1299" s="73" t="s">
        <v>112</v>
      </c>
      <c r="AK1299" s="15" t="s">
        <v>133</v>
      </c>
    </row>
    <row r="1300" spans="33:37" x14ac:dyDescent="0.4">
      <c r="AG1300" s="72" t="s">
        <v>98</v>
      </c>
      <c r="AH1300" s="72" t="s">
        <v>98</v>
      </c>
      <c r="AI1300" s="72" t="s">
        <v>98</v>
      </c>
      <c r="AJ1300" s="72" t="s">
        <v>98</v>
      </c>
      <c r="AK1300" s="15" t="s">
        <v>133</v>
      </c>
    </row>
  </sheetData>
  <sheetProtection algorithmName="SHA-512" hashValue="Jay/8SeX5f2B3qKMECe901rsKZAXB8sOogYTDbNJk0bg8O37E4eaUa9+E19P0dHRP5aFF6A6h1dOOw9bqim2lw==" saltValue="C/iKt2WB4PzQqmfcJbItEQ==" spinCount="100000" sheet="1" objects="1" scenarios="1"/>
  <phoneticPr fontId="6" type="noConversion"/>
  <dataValidations count="2">
    <dataValidation type="date" allowBlank="1" showInputMessage="1" showErrorMessage="1" sqref="D17:D40 D5:D12" xr:uid="{5281386F-60F1-4CEE-ABA5-EF4D08D89FB9}">
      <formula1>43831</formula1>
      <formula2>73051</formula2>
    </dataValidation>
    <dataValidation type="decimal" allowBlank="1" showInputMessage="1" showErrorMessage="1" sqref="I5:J12 I17:J40" xr:uid="{9D668839-83F0-442D-8FE5-600EED19728F}">
      <formula1>-100000</formula1>
      <formula2>100000</formula2>
    </dataValidation>
  </dataValidations>
  <pageMargins left="0.7" right="0.7" top="0.75" bottom="0.75" header="0.3" footer="0.3"/>
  <ignoredErrors>
    <ignoredError sqref="H17:H40 H9:H12" unlockedFormula="1"/>
    <ignoredError sqref="F45:F52 E57:E60 C18:C40" calculatedColumn="1"/>
  </ignoredErrors>
  <drawing r:id="rId1"/>
  <tableParts count="8">
    <tablePart r:id="rId2"/>
    <tablePart r:id="rId3"/>
    <tablePart r:id="rId4"/>
    <tablePart r:id="rId5"/>
    <tablePart r:id="rId6"/>
    <tablePart r:id="rId7"/>
    <tablePart r:id="rId8"/>
    <tablePart r:id="rId9"/>
  </tableParts>
  <extLst>
    <ext xmlns:x14="http://schemas.microsoft.com/office/spreadsheetml/2009/9/main" uri="{CCE6A557-97BC-4b89-ADB6-D9C93CAAB3DF}">
      <x14:dataValidations xmlns:xm="http://schemas.microsoft.com/office/excel/2006/main" count="1">
        <x14:dataValidation type="list" allowBlank="1" showInputMessage="1" showErrorMessage="1" xr:uid="{30CAED80-EF7C-4640-B825-5F6F744989FB}">
          <x14:formula1>
            <xm:f>'Dropdown tables - Production'!$Y$2:$Y$4</xm:f>
          </x14:formula1>
          <xm:sqref>E5</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F54465-B6CA-43DD-890C-59CD5241F839}">
  <sheetPr codeName="Sheet24">
    <tabColor theme="9" tint="0.59999389629810485"/>
  </sheetPr>
  <dimension ref="C1:AP629"/>
  <sheetViews>
    <sheetView zoomScale="80" zoomScaleNormal="80" workbookViewId="0"/>
  </sheetViews>
  <sheetFormatPr defaultColWidth="9" defaultRowHeight="16.8" x14ac:dyDescent="0.4"/>
  <cols>
    <col min="1" max="1" width="9" style="15"/>
    <col min="2" max="2" width="0" style="15" hidden="1" customWidth="1"/>
    <col min="3" max="3" width="13.44140625" style="15" hidden="1" customWidth="1"/>
    <col min="4" max="4" width="19.44140625" style="15" customWidth="1"/>
    <col min="5" max="5" width="28.21875" style="15" customWidth="1"/>
    <col min="6" max="6" width="24.77734375" style="15" customWidth="1"/>
    <col min="7" max="7" width="23" style="15" bestFit="1" customWidth="1"/>
    <col min="8" max="8" width="23.5546875" style="15" customWidth="1"/>
    <col min="9" max="9" width="14.5546875" style="15" customWidth="1"/>
    <col min="10" max="10" width="15" style="15" customWidth="1"/>
    <col min="11" max="11" width="17.21875" style="15" customWidth="1"/>
    <col min="12" max="27" width="9" style="15" customWidth="1"/>
    <col min="28" max="38" width="9" style="15" hidden="1" customWidth="1"/>
    <col min="39" max="39" width="9" style="15"/>
    <col min="40" max="41" width="9" style="15" customWidth="1"/>
    <col min="42" max="16384" width="9" style="15"/>
  </cols>
  <sheetData>
    <row r="1" spans="3:42" x14ac:dyDescent="0.4">
      <c r="W1" s="20"/>
      <c r="X1" s="20"/>
      <c r="Y1" s="20"/>
      <c r="Z1" s="20"/>
      <c r="AA1" s="20"/>
      <c r="AB1" s="20"/>
      <c r="AC1" s="20"/>
    </row>
    <row r="2" spans="3:42" x14ac:dyDescent="0.4">
      <c r="D2" s="18" t="s">
        <v>1926</v>
      </c>
      <c r="AB2" s="18" t="s">
        <v>134</v>
      </c>
      <c r="AF2" s="18" t="s">
        <v>76</v>
      </c>
    </row>
    <row r="3" spans="3:42" hidden="1" x14ac:dyDescent="0.4">
      <c r="C3" s="15">
        <v>5.0999999999999996</v>
      </c>
      <c r="D3" s="15">
        <v>5.2</v>
      </c>
      <c r="E3" s="15">
        <v>5.3</v>
      </c>
      <c r="F3" s="15">
        <v>5.4</v>
      </c>
      <c r="G3" s="15">
        <v>5.5</v>
      </c>
      <c r="H3" s="15">
        <v>5.6</v>
      </c>
      <c r="I3" s="15">
        <v>5.7</v>
      </c>
      <c r="J3" s="15">
        <v>5.8</v>
      </c>
      <c r="K3" s="15">
        <v>5.9</v>
      </c>
      <c r="AI3" s="20"/>
    </row>
    <row r="4" spans="3:42" s="17" customFormat="1" ht="44.25" customHeight="1" thickBot="1" x14ac:dyDescent="0.45">
      <c r="C4" s="59" t="s">
        <v>44</v>
      </c>
      <c r="D4" s="58" t="s">
        <v>135</v>
      </c>
      <c r="E4" s="58" t="s">
        <v>136</v>
      </c>
      <c r="F4" s="61" t="s">
        <v>79</v>
      </c>
      <c r="G4" s="59" t="s">
        <v>80</v>
      </c>
      <c r="H4" s="61" t="s">
        <v>81</v>
      </c>
      <c r="I4" s="61" t="s">
        <v>82</v>
      </c>
      <c r="J4" s="61" t="s">
        <v>83</v>
      </c>
      <c r="K4" s="60" t="s">
        <v>56</v>
      </c>
      <c r="L4" s="24"/>
      <c r="S4" s="24"/>
      <c r="AB4" s="17" t="s">
        <v>137</v>
      </c>
      <c r="AC4" s="17" t="s">
        <v>138</v>
      </c>
      <c r="AD4" s="17" t="s">
        <v>139</v>
      </c>
      <c r="AE4" s="17" t="s">
        <v>87</v>
      </c>
      <c r="AF4" s="17" t="s">
        <v>56</v>
      </c>
      <c r="AH4" s="130" t="s">
        <v>88</v>
      </c>
      <c r="AI4" s="17" t="s">
        <v>89</v>
      </c>
      <c r="AJ4" s="17" t="s">
        <v>90</v>
      </c>
      <c r="AK4" s="17" t="s">
        <v>91</v>
      </c>
      <c r="AL4" s="131" t="s">
        <v>92</v>
      </c>
    </row>
    <row r="5" spans="3:42" ht="17.399999999999999" thickTop="1" x14ac:dyDescent="0.4">
      <c r="C5" s="56" t="str">
        <f>IF('Site and production details'!C5= 0, "", 'Site and production details'!C5)</f>
        <v/>
      </c>
      <c r="D5" s="153"/>
      <c r="E5" s="192" t="s">
        <v>93</v>
      </c>
      <c r="F5" s="210" t="s">
        <v>94</v>
      </c>
      <c r="G5" s="117" t="s">
        <v>95</v>
      </c>
      <c r="H5" s="255" t="s">
        <v>96</v>
      </c>
      <c r="I5" s="210"/>
      <c r="J5" s="210"/>
      <c r="K5" s="172"/>
      <c r="AB5" s="15" t="s">
        <v>140</v>
      </c>
      <c r="AC5" s="21">
        <v>80.000010000000003</v>
      </c>
      <c r="AD5" s="21">
        <v>10000000</v>
      </c>
      <c r="AE5" s="15" t="s">
        <v>98</v>
      </c>
      <c r="AF5" s="15" t="s">
        <v>141</v>
      </c>
      <c r="AH5" s="15" t="s">
        <v>100</v>
      </c>
      <c r="AI5" s="15" t="s">
        <v>101</v>
      </c>
      <c r="AJ5" s="15" t="s">
        <v>101</v>
      </c>
      <c r="AK5" s="15" t="s">
        <v>101</v>
      </c>
      <c r="AL5" s="15" t="s">
        <v>102</v>
      </c>
    </row>
    <row r="6" spans="3:42" x14ac:dyDescent="0.4">
      <c r="C6" s="56" t="str">
        <f>C5</f>
        <v/>
      </c>
      <c r="D6" s="153"/>
      <c r="E6" s="118" t="str">
        <f>IF(E5 = "Select", "", E5)</f>
        <v/>
      </c>
      <c r="F6" s="30" t="s">
        <v>94</v>
      </c>
      <c r="G6" s="56" t="s">
        <v>103</v>
      </c>
      <c r="H6" s="256" t="s">
        <v>104</v>
      </c>
      <c r="I6" s="30"/>
      <c r="J6" s="30"/>
      <c r="K6" s="173"/>
      <c r="AB6" s="15" t="s">
        <v>140</v>
      </c>
      <c r="AC6" s="21">
        <v>50</v>
      </c>
      <c r="AD6" s="21">
        <v>80.000010000000003</v>
      </c>
      <c r="AE6" s="15" t="s">
        <v>105</v>
      </c>
      <c r="AH6" s="15" t="s">
        <v>100</v>
      </c>
      <c r="AI6" s="15" t="s">
        <v>101</v>
      </c>
      <c r="AJ6" s="15" t="s">
        <v>101</v>
      </c>
      <c r="AK6" s="15" t="s">
        <v>100</v>
      </c>
      <c r="AL6" s="15" t="s">
        <v>102</v>
      </c>
      <c r="AM6" s="20"/>
    </row>
    <row r="7" spans="3:42" x14ac:dyDescent="0.4">
      <c r="C7" s="56" t="str">
        <f t="shared" ref="C7:C52" si="0">C6</f>
        <v/>
      </c>
      <c r="D7" s="153"/>
      <c r="E7" s="118" t="str">
        <f>IF(E5 = "Select", "", E5)</f>
        <v/>
      </c>
      <c r="F7" s="30" t="s">
        <v>94</v>
      </c>
      <c r="G7" s="56" t="s">
        <v>106</v>
      </c>
      <c r="H7" s="256" t="s">
        <v>107</v>
      </c>
      <c r="I7" s="30"/>
      <c r="J7" s="30"/>
      <c r="K7" s="173"/>
      <c r="AB7" s="15" t="s">
        <v>140</v>
      </c>
      <c r="AC7" s="21">
        <v>35</v>
      </c>
      <c r="AD7" s="21">
        <v>50</v>
      </c>
      <c r="AE7" s="15" t="s">
        <v>108</v>
      </c>
      <c r="AH7" s="15" t="s">
        <v>100</v>
      </c>
      <c r="AI7" s="15" t="s">
        <v>101</v>
      </c>
      <c r="AJ7" s="15" t="s">
        <v>101</v>
      </c>
      <c r="AK7" s="15" t="s">
        <v>108</v>
      </c>
      <c r="AL7" s="15" t="s">
        <v>102</v>
      </c>
      <c r="AM7" s="20"/>
    </row>
    <row r="8" spans="3:42" x14ac:dyDescent="0.4">
      <c r="C8" s="56" t="str">
        <f t="shared" si="0"/>
        <v/>
      </c>
      <c r="D8" s="153"/>
      <c r="E8" s="118" t="str">
        <f>IF(E5 = "Select", "", E5)</f>
        <v/>
      </c>
      <c r="F8" s="30" t="s">
        <v>94</v>
      </c>
      <c r="G8" s="56" t="s">
        <v>109</v>
      </c>
      <c r="H8" s="256" t="s">
        <v>110</v>
      </c>
      <c r="I8" s="30"/>
      <c r="J8" s="30"/>
      <c r="K8" s="173"/>
      <c r="AB8" s="15" t="s">
        <v>140</v>
      </c>
      <c r="AC8" s="21">
        <v>15</v>
      </c>
      <c r="AD8" s="21">
        <v>35</v>
      </c>
      <c r="AE8" s="15" t="s">
        <v>100</v>
      </c>
      <c r="AH8" s="15" t="s">
        <v>100</v>
      </c>
      <c r="AI8" s="15" t="s">
        <v>101</v>
      </c>
      <c r="AJ8" s="15" t="s">
        <v>101</v>
      </c>
      <c r="AK8" s="15" t="s">
        <v>105</v>
      </c>
      <c r="AL8" s="15" t="s">
        <v>102</v>
      </c>
      <c r="AM8" s="20"/>
    </row>
    <row r="9" spans="3:42" x14ac:dyDescent="0.4">
      <c r="C9" s="56" t="str">
        <f t="shared" si="0"/>
        <v/>
      </c>
      <c r="D9" s="153"/>
      <c r="E9" s="118" t="str">
        <f t="shared" ref="E9" si="1">IF(E8 = "Select", "", E8)</f>
        <v/>
      </c>
      <c r="F9" s="210" t="s">
        <v>116</v>
      </c>
      <c r="G9" s="117" t="s">
        <v>95</v>
      </c>
      <c r="H9" s="255" t="s">
        <v>96</v>
      </c>
      <c r="I9" s="210"/>
      <c r="J9" s="210"/>
      <c r="K9" s="172"/>
      <c r="AB9" s="15" t="s">
        <v>140</v>
      </c>
      <c r="AC9" s="21">
        <v>0</v>
      </c>
      <c r="AD9" s="21">
        <v>15</v>
      </c>
      <c r="AE9" s="15" t="s">
        <v>101</v>
      </c>
      <c r="AF9" s="15" t="s">
        <v>111</v>
      </c>
      <c r="AH9" s="15" t="s">
        <v>100</v>
      </c>
      <c r="AI9" s="15" t="s">
        <v>101</v>
      </c>
      <c r="AJ9" s="15" t="s">
        <v>101</v>
      </c>
      <c r="AK9" s="15" t="s">
        <v>98</v>
      </c>
      <c r="AL9" s="15" t="s">
        <v>102</v>
      </c>
      <c r="AO9" s="20"/>
      <c r="AP9" s="20"/>
    </row>
    <row r="10" spans="3:42" x14ac:dyDescent="0.4">
      <c r="C10" s="56" t="str">
        <f t="shared" si="0"/>
        <v/>
      </c>
      <c r="D10" s="153"/>
      <c r="E10" s="118" t="str">
        <f t="shared" ref="E10" si="2">IF(E8 = "Select", "", E8)</f>
        <v/>
      </c>
      <c r="F10" s="30" t="s">
        <v>116</v>
      </c>
      <c r="G10" s="56" t="s">
        <v>103</v>
      </c>
      <c r="H10" s="256" t="s">
        <v>104</v>
      </c>
      <c r="I10" s="30"/>
      <c r="J10" s="30"/>
      <c r="K10" s="173"/>
      <c r="Y10" s="20"/>
      <c r="Z10" s="20"/>
      <c r="AA10" s="20"/>
      <c r="AB10" s="15" t="s">
        <v>142</v>
      </c>
      <c r="AC10" s="21">
        <v>0</v>
      </c>
      <c r="AD10" s="21">
        <v>20</v>
      </c>
      <c r="AE10" s="15" t="s">
        <v>98</v>
      </c>
      <c r="AF10" s="15" t="s">
        <v>111</v>
      </c>
      <c r="AH10" s="15" t="s">
        <v>100</v>
      </c>
      <c r="AI10" s="15" t="s">
        <v>101</v>
      </c>
      <c r="AJ10" s="15" t="s">
        <v>100</v>
      </c>
      <c r="AK10" s="15" t="s">
        <v>101</v>
      </c>
      <c r="AL10" s="15" t="s">
        <v>102</v>
      </c>
      <c r="AO10" s="20"/>
      <c r="AP10" s="20"/>
    </row>
    <row r="11" spans="3:42" x14ac:dyDescent="0.4">
      <c r="C11" s="56" t="str">
        <f t="shared" si="0"/>
        <v/>
      </c>
      <c r="D11" s="153"/>
      <c r="E11" s="118" t="str">
        <f t="shared" ref="E11" si="3">IF(E8 = "Select", "", E8)</f>
        <v/>
      </c>
      <c r="F11" s="30" t="s">
        <v>116</v>
      </c>
      <c r="G11" s="56" t="s">
        <v>106</v>
      </c>
      <c r="H11" s="256" t="s">
        <v>107</v>
      </c>
      <c r="I11" s="30"/>
      <c r="J11" s="30"/>
      <c r="K11" s="173"/>
      <c r="AB11" s="15" t="s">
        <v>142</v>
      </c>
      <c r="AC11" s="21">
        <v>20</v>
      </c>
      <c r="AD11" s="21">
        <v>40.000010000000003</v>
      </c>
      <c r="AE11" s="15" t="s">
        <v>105</v>
      </c>
      <c r="AH11" s="15" t="s">
        <v>100</v>
      </c>
      <c r="AI11" s="15" t="s">
        <v>101</v>
      </c>
      <c r="AJ11" s="15" t="s">
        <v>100</v>
      </c>
      <c r="AK11" s="15" t="s">
        <v>100</v>
      </c>
      <c r="AL11" s="15" t="s">
        <v>102</v>
      </c>
      <c r="AO11" s="20"/>
      <c r="AP11" s="20"/>
    </row>
    <row r="12" spans="3:42" x14ac:dyDescent="0.4">
      <c r="C12" s="56" t="str">
        <f t="shared" si="0"/>
        <v/>
      </c>
      <c r="D12" s="153"/>
      <c r="E12" s="118" t="str">
        <f t="shared" ref="E12" si="4">IF(E11 = "Select", "", E11)</f>
        <v/>
      </c>
      <c r="F12" s="30" t="s">
        <v>116</v>
      </c>
      <c r="G12" s="56" t="s">
        <v>109</v>
      </c>
      <c r="H12" s="256" t="s">
        <v>110</v>
      </c>
      <c r="I12" s="30"/>
      <c r="J12" s="30"/>
      <c r="K12" s="173"/>
      <c r="AB12" s="15" t="s">
        <v>142</v>
      </c>
      <c r="AC12" s="21">
        <v>40.000010000000003</v>
      </c>
      <c r="AD12" s="21">
        <v>60.000010000000003</v>
      </c>
      <c r="AE12" s="15" t="s">
        <v>108</v>
      </c>
      <c r="AH12" s="15" t="s">
        <v>100</v>
      </c>
      <c r="AI12" s="15" t="s">
        <v>101</v>
      </c>
      <c r="AJ12" s="15" t="s">
        <v>100</v>
      </c>
      <c r="AK12" s="15" t="s">
        <v>108</v>
      </c>
      <c r="AL12" s="15" t="s">
        <v>102</v>
      </c>
      <c r="AO12" s="20"/>
      <c r="AP12" s="20"/>
    </row>
    <row r="13" spans="3:42" x14ac:dyDescent="0.4">
      <c r="C13" s="56" t="str">
        <f t="shared" si="0"/>
        <v/>
      </c>
      <c r="D13" s="153"/>
      <c r="E13" s="118" t="str">
        <f t="shared" ref="E13" si="5">IF(E11 = "Select", "", E11)</f>
        <v/>
      </c>
      <c r="F13" s="210" t="s">
        <v>117</v>
      </c>
      <c r="G13" s="117" t="s">
        <v>95</v>
      </c>
      <c r="H13" s="255" t="s">
        <v>96</v>
      </c>
      <c r="I13" s="210"/>
      <c r="J13" s="210"/>
      <c r="K13" s="172"/>
      <c r="Y13" s="20"/>
      <c r="Z13" s="20"/>
      <c r="AA13" s="20"/>
      <c r="AB13" s="15" t="s">
        <v>142</v>
      </c>
      <c r="AC13" s="21">
        <v>60.000010000000003</v>
      </c>
      <c r="AD13" s="21">
        <v>80.000010000000003</v>
      </c>
      <c r="AE13" s="15" t="s">
        <v>100</v>
      </c>
      <c r="AH13" s="15" t="s">
        <v>100</v>
      </c>
      <c r="AI13" s="15" t="s">
        <v>101</v>
      </c>
      <c r="AJ13" s="15" t="s">
        <v>100</v>
      </c>
      <c r="AK13" s="15" t="s">
        <v>105</v>
      </c>
      <c r="AL13" s="15" t="s">
        <v>102</v>
      </c>
    </row>
    <row r="14" spans="3:42" x14ac:dyDescent="0.4">
      <c r="C14" s="56" t="str">
        <f t="shared" si="0"/>
        <v/>
      </c>
      <c r="D14" s="153"/>
      <c r="E14" s="118" t="str">
        <f t="shared" ref="E14" si="6">IF(E11 = "Select", "", E11)</f>
        <v/>
      </c>
      <c r="F14" s="30" t="s">
        <v>117</v>
      </c>
      <c r="G14" s="56" t="s">
        <v>103</v>
      </c>
      <c r="H14" s="256" t="s">
        <v>104</v>
      </c>
      <c r="I14" s="30"/>
      <c r="J14" s="30"/>
      <c r="K14" s="173"/>
      <c r="AB14" s="15" t="s">
        <v>142</v>
      </c>
      <c r="AC14" s="21">
        <v>80.000010000000003</v>
      </c>
      <c r="AD14" s="21">
        <v>10000000</v>
      </c>
      <c r="AE14" s="15" t="s">
        <v>101</v>
      </c>
      <c r="AF14" s="15" t="s">
        <v>141</v>
      </c>
      <c r="AH14" s="15" t="s">
        <v>100</v>
      </c>
      <c r="AI14" s="15" t="s">
        <v>101</v>
      </c>
      <c r="AJ14" s="15" t="s">
        <v>100</v>
      </c>
      <c r="AK14" s="15" t="s">
        <v>98</v>
      </c>
      <c r="AL14" s="15" t="s">
        <v>102</v>
      </c>
    </row>
    <row r="15" spans="3:42" x14ac:dyDescent="0.4">
      <c r="C15" s="56" t="str">
        <f t="shared" si="0"/>
        <v/>
      </c>
      <c r="D15" s="153"/>
      <c r="E15" s="118" t="str">
        <f t="shared" ref="E15" si="7">IF(E14 = "Select", "", E14)</f>
        <v/>
      </c>
      <c r="F15" s="30" t="s">
        <v>117</v>
      </c>
      <c r="G15" s="56" t="s">
        <v>106</v>
      </c>
      <c r="H15" s="256" t="s">
        <v>107</v>
      </c>
      <c r="I15" s="30"/>
      <c r="J15" s="30"/>
      <c r="K15" s="173"/>
      <c r="AB15" s="15" t="s">
        <v>143</v>
      </c>
      <c r="AC15" s="21">
        <v>0</v>
      </c>
      <c r="AD15" s="21">
        <v>3.1E-2</v>
      </c>
      <c r="AE15" s="15" t="s">
        <v>98</v>
      </c>
      <c r="AH15" s="15" t="s">
        <v>100</v>
      </c>
      <c r="AI15" s="15" t="s">
        <v>101</v>
      </c>
      <c r="AJ15" s="15" t="s">
        <v>108</v>
      </c>
      <c r="AK15" s="15" t="s">
        <v>101</v>
      </c>
      <c r="AL15" s="15" t="s">
        <v>102</v>
      </c>
    </row>
    <row r="16" spans="3:42" x14ac:dyDescent="0.4">
      <c r="C16" s="56" t="str">
        <f t="shared" si="0"/>
        <v/>
      </c>
      <c r="D16" s="153"/>
      <c r="E16" s="118" t="str">
        <f t="shared" ref="E16" si="8">IF(E14 = "Select", "", E14)</f>
        <v/>
      </c>
      <c r="F16" s="30" t="s">
        <v>117</v>
      </c>
      <c r="G16" s="56" t="s">
        <v>109</v>
      </c>
      <c r="H16" s="256" t="s">
        <v>110</v>
      </c>
      <c r="I16" s="30"/>
      <c r="J16" s="30"/>
      <c r="K16" s="173"/>
      <c r="AB16" s="15" t="s">
        <v>143</v>
      </c>
      <c r="AC16" s="21">
        <v>3.1E-2</v>
      </c>
      <c r="AD16" s="21">
        <v>0.12600001</v>
      </c>
      <c r="AE16" s="15" t="s">
        <v>105</v>
      </c>
      <c r="AH16" s="15" t="s">
        <v>100</v>
      </c>
      <c r="AI16" s="15" t="s">
        <v>101</v>
      </c>
      <c r="AJ16" s="15" t="s">
        <v>108</v>
      </c>
      <c r="AK16" s="15" t="s">
        <v>100</v>
      </c>
      <c r="AL16" s="15" t="s">
        <v>102</v>
      </c>
    </row>
    <row r="17" spans="3:38" x14ac:dyDescent="0.4">
      <c r="C17" s="56" t="str">
        <f t="shared" si="0"/>
        <v/>
      </c>
      <c r="D17" s="153"/>
      <c r="E17" s="118" t="str">
        <f t="shared" ref="E17" si="9">IF(E14 = "Select", "", E14)</f>
        <v/>
      </c>
      <c r="F17" s="210" t="s">
        <v>122</v>
      </c>
      <c r="G17" s="117" t="s">
        <v>95</v>
      </c>
      <c r="H17" s="255" t="s">
        <v>96</v>
      </c>
      <c r="I17" s="210"/>
      <c r="J17" s="210"/>
      <c r="K17" s="172"/>
      <c r="AB17" s="15" t="s">
        <v>143</v>
      </c>
      <c r="AC17" s="21">
        <v>0.12600001</v>
      </c>
      <c r="AD17" s="21">
        <v>0.18700000999999999</v>
      </c>
      <c r="AE17" s="15" t="s">
        <v>108</v>
      </c>
      <c r="AH17" s="15" t="s">
        <v>100</v>
      </c>
      <c r="AI17" s="15" t="s">
        <v>101</v>
      </c>
      <c r="AJ17" s="15" t="s">
        <v>108</v>
      </c>
      <c r="AK17" s="15" t="s">
        <v>108</v>
      </c>
      <c r="AL17" s="15" t="s">
        <v>102</v>
      </c>
    </row>
    <row r="18" spans="3:38" x14ac:dyDescent="0.4">
      <c r="C18" s="56" t="str">
        <f t="shared" si="0"/>
        <v/>
      </c>
      <c r="D18" s="153"/>
      <c r="E18" s="118" t="str">
        <f t="shared" ref="E18" si="10">IF(E17 = "Select", "", E17)</f>
        <v/>
      </c>
      <c r="F18" s="30" t="s">
        <v>122</v>
      </c>
      <c r="G18" s="56" t="s">
        <v>103</v>
      </c>
      <c r="H18" s="256" t="s">
        <v>104</v>
      </c>
      <c r="I18" s="30"/>
      <c r="J18" s="30"/>
      <c r="K18" s="173"/>
      <c r="AB18" s="15" t="s">
        <v>143</v>
      </c>
      <c r="AC18" s="21">
        <v>0.18700000999999999</v>
      </c>
      <c r="AD18" s="21">
        <v>0.23700001000000001</v>
      </c>
      <c r="AE18" s="15" t="s">
        <v>100</v>
      </c>
      <c r="AH18" s="15" t="s">
        <v>100</v>
      </c>
      <c r="AI18" s="15" t="s">
        <v>101</v>
      </c>
      <c r="AJ18" s="15" t="s">
        <v>108</v>
      </c>
      <c r="AK18" s="15" t="s">
        <v>105</v>
      </c>
      <c r="AL18" s="15" t="s">
        <v>102</v>
      </c>
    </row>
    <row r="19" spans="3:38" x14ac:dyDescent="0.4">
      <c r="C19" s="56" t="str">
        <f t="shared" si="0"/>
        <v/>
      </c>
      <c r="D19" s="153"/>
      <c r="E19" s="118" t="str">
        <f t="shared" ref="E19" si="11">IF(E17 = "Select", "", E17)</f>
        <v/>
      </c>
      <c r="F19" s="30" t="s">
        <v>122</v>
      </c>
      <c r="G19" s="56" t="s">
        <v>106</v>
      </c>
      <c r="H19" s="256" t="s">
        <v>107</v>
      </c>
      <c r="I19" s="30"/>
      <c r="J19" s="30"/>
      <c r="K19" s="173"/>
      <c r="O19" s="68"/>
      <c r="AB19" s="15" t="s">
        <v>143</v>
      </c>
      <c r="AC19" s="21">
        <v>0.23700001000000001</v>
      </c>
      <c r="AD19" s="21">
        <v>10000000</v>
      </c>
      <c r="AE19" s="15" t="s">
        <v>101</v>
      </c>
      <c r="AF19" s="15" t="s">
        <v>141</v>
      </c>
      <c r="AH19" s="15" t="s">
        <v>100</v>
      </c>
      <c r="AI19" s="15" t="s">
        <v>101</v>
      </c>
      <c r="AJ19" s="15" t="s">
        <v>108</v>
      </c>
      <c r="AK19" s="15" t="s">
        <v>98</v>
      </c>
      <c r="AL19" s="15" t="s">
        <v>102</v>
      </c>
    </row>
    <row r="20" spans="3:38" x14ac:dyDescent="0.4">
      <c r="C20" s="56" t="str">
        <f t="shared" si="0"/>
        <v/>
      </c>
      <c r="D20" s="153"/>
      <c r="E20" s="121" t="str">
        <f t="shared" ref="E20" si="12">IF(E17 = "Select", "", E17)</f>
        <v/>
      </c>
      <c r="F20" s="211" t="s">
        <v>122</v>
      </c>
      <c r="G20" s="120" t="s">
        <v>109</v>
      </c>
      <c r="H20" s="257" t="s">
        <v>110</v>
      </c>
      <c r="I20" s="211"/>
      <c r="J20" s="211"/>
      <c r="K20" s="174"/>
      <c r="AB20" s="15" t="s">
        <v>144</v>
      </c>
      <c r="AC20" s="21">
        <v>0</v>
      </c>
      <c r="AD20" s="21">
        <v>1.2</v>
      </c>
      <c r="AE20" s="15" t="s">
        <v>98</v>
      </c>
      <c r="AF20" s="15" t="s">
        <v>111</v>
      </c>
      <c r="AH20" s="15" t="s">
        <v>100</v>
      </c>
      <c r="AI20" s="15" t="s">
        <v>101</v>
      </c>
      <c r="AJ20" s="15" t="s">
        <v>105</v>
      </c>
      <c r="AK20" s="15" t="s">
        <v>101</v>
      </c>
      <c r="AL20" s="15" t="s">
        <v>102</v>
      </c>
    </row>
    <row r="21" spans="3:38" x14ac:dyDescent="0.4">
      <c r="C21" s="56" t="str">
        <f t="shared" si="0"/>
        <v/>
      </c>
      <c r="D21" s="153"/>
      <c r="E21" s="192" t="s">
        <v>93</v>
      </c>
      <c r="F21" s="210" t="s">
        <v>94</v>
      </c>
      <c r="G21" s="117" t="s">
        <v>95</v>
      </c>
      <c r="H21" s="255" t="str">
        <f>H5</f>
        <v>0-30</v>
      </c>
      <c r="I21" s="210"/>
      <c r="J21" s="210"/>
      <c r="K21" s="172"/>
      <c r="AB21" s="15" t="s">
        <v>144</v>
      </c>
      <c r="AC21" s="21">
        <v>1.2000010000000001</v>
      </c>
      <c r="AD21" s="21">
        <v>3.0000100000000001</v>
      </c>
      <c r="AE21" s="15" t="s">
        <v>105</v>
      </c>
      <c r="AH21" s="15" t="s">
        <v>100</v>
      </c>
      <c r="AI21" s="15" t="s">
        <v>101</v>
      </c>
      <c r="AJ21" s="15" t="s">
        <v>105</v>
      </c>
      <c r="AK21" s="15" t="s">
        <v>100</v>
      </c>
      <c r="AL21" s="15" t="s">
        <v>102</v>
      </c>
    </row>
    <row r="22" spans="3:38" x14ac:dyDescent="0.4">
      <c r="C22" s="56" t="str">
        <f t="shared" si="0"/>
        <v/>
      </c>
      <c r="D22" s="153"/>
      <c r="E22" s="114" t="str">
        <f>IF(E21 = "Select", "", E21)</f>
        <v/>
      </c>
      <c r="F22" s="30" t="s">
        <v>94</v>
      </c>
      <c r="G22" s="56" t="s">
        <v>103</v>
      </c>
      <c r="H22" s="256" t="str">
        <f t="shared" ref="H22:H52" si="13">H6</f>
        <v>31-100</v>
      </c>
      <c r="I22" s="30"/>
      <c r="J22" s="30"/>
      <c r="K22" s="173"/>
      <c r="AB22" s="15" t="s">
        <v>144</v>
      </c>
      <c r="AC22" s="21">
        <v>3.0000100000000001</v>
      </c>
      <c r="AD22" s="21">
        <v>3.9000010000000001</v>
      </c>
      <c r="AE22" s="15" t="s">
        <v>108</v>
      </c>
      <c r="AH22" s="15" t="s">
        <v>100</v>
      </c>
      <c r="AI22" s="15" t="s">
        <v>101</v>
      </c>
      <c r="AJ22" s="15" t="s">
        <v>105</v>
      </c>
      <c r="AK22" s="15" t="s">
        <v>108</v>
      </c>
      <c r="AL22" s="15" t="s">
        <v>102</v>
      </c>
    </row>
    <row r="23" spans="3:38" x14ac:dyDescent="0.4">
      <c r="C23" s="56" t="str">
        <f t="shared" si="0"/>
        <v/>
      </c>
      <c r="D23" s="153"/>
      <c r="E23" s="114" t="str">
        <f>IF(E21 = "Select", "", E21)</f>
        <v/>
      </c>
      <c r="F23" s="30" t="s">
        <v>94</v>
      </c>
      <c r="G23" s="56" t="s">
        <v>106</v>
      </c>
      <c r="H23" s="256" t="str">
        <f t="shared" si="13"/>
        <v>101-150</v>
      </c>
      <c r="I23" s="30"/>
      <c r="J23" s="30"/>
      <c r="K23" s="173"/>
      <c r="AB23" s="15" t="s">
        <v>144</v>
      </c>
      <c r="AC23" s="21">
        <v>3.9000010000000001</v>
      </c>
      <c r="AD23" s="21">
        <v>4.800001</v>
      </c>
      <c r="AE23" s="15" t="s">
        <v>100</v>
      </c>
      <c r="AH23" s="15" t="s">
        <v>100</v>
      </c>
      <c r="AI23" s="15" t="s">
        <v>101</v>
      </c>
      <c r="AJ23" s="15" t="s">
        <v>105</v>
      </c>
      <c r="AK23" s="15" t="s">
        <v>105</v>
      </c>
      <c r="AL23" s="15" t="s">
        <v>102</v>
      </c>
    </row>
    <row r="24" spans="3:38" x14ac:dyDescent="0.4">
      <c r="C24" s="56" t="str">
        <f t="shared" si="0"/>
        <v/>
      </c>
      <c r="D24" s="153"/>
      <c r="E24" s="114" t="str">
        <f>IF(E21 = "Select", "", E21)</f>
        <v/>
      </c>
      <c r="F24" s="211" t="s">
        <v>94</v>
      </c>
      <c r="G24" s="120" t="s">
        <v>109</v>
      </c>
      <c r="H24" s="257" t="str">
        <f t="shared" si="13"/>
        <v>500+</v>
      </c>
      <c r="I24" s="211"/>
      <c r="J24" s="211"/>
      <c r="K24" s="174"/>
      <c r="AB24" s="15" t="s">
        <v>144</v>
      </c>
      <c r="AC24" s="21">
        <v>4.800001</v>
      </c>
      <c r="AD24" s="21">
        <v>10000000</v>
      </c>
      <c r="AE24" s="15" t="s">
        <v>101</v>
      </c>
      <c r="AF24" s="15" t="s">
        <v>141</v>
      </c>
      <c r="AH24" s="15" t="s">
        <v>100</v>
      </c>
      <c r="AI24" s="15" t="s">
        <v>101</v>
      </c>
      <c r="AJ24" s="15" t="s">
        <v>105</v>
      </c>
      <c r="AK24" s="15" t="s">
        <v>98</v>
      </c>
      <c r="AL24" s="15" t="s">
        <v>102</v>
      </c>
    </row>
    <row r="25" spans="3:38" x14ac:dyDescent="0.4">
      <c r="C25" s="56" t="str">
        <f t="shared" si="0"/>
        <v/>
      </c>
      <c r="D25" s="153"/>
      <c r="E25" s="114" t="str">
        <f>IF(E21 = "Select", "", E21)</f>
        <v/>
      </c>
      <c r="F25" s="30" t="s">
        <v>116</v>
      </c>
      <c r="G25" s="56" t="s">
        <v>95</v>
      </c>
      <c r="H25" s="256" t="str">
        <f t="shared" si="13"/>
        <v>0-30</v>
      </c>
      <c r="I25" s="30"/>
      <c r="J25" s="30"/>
      <c r="K25" s="173"/>
      <c r="AB25" s="15" t="s">
        <v>145</v>
      </c>
      <c r="AC25" s="21">
        <v>0.83000010000000002</v>
      </c>
      <c r="AD25" s="21">
        <v>10000000</v>
      </c>
      <c r="AE25" s="15" t="s">
        <v>98</v>
      </c>
      <c r="AF25" s="15" t="s">
        <v>141</v>
      </c>
      <c r="AH25" s="15" t="s">
        <v>100</v>
      </c>
      <c r="AI25" s="15" t="s">
        <v>101</v>
      </c>
      <c r="AJ25" s="15" t="s">
        <v>98</v>
      </c>
      <c r="AK25" s="15" t="s">
        <v>101</v>
      </c>
      <c r="AL25" s="15" t="s">
        <v>102</v>
      </c>
    </row>
    <row r="26" spans="3:38" x14ac:dyDescent="0.4">
      <c r="C26" s="56" t="str">
        <f t="shared" si="0"/>
        <v/>
      </c>
      <c r="D26" s="153"/>
      <c r="E26" s="114" t="str">
        <f>IF(E21 = "Select", "", E21)</f>
        <v/>
      </c>
      <c r="F26" s="30" t="s">
        <v>116</v>
      </c>
      <c r="G26" s="56" t="s">
        <v>103</v>
      </c>
      <c r="H26" s="256" t="str">
        <f t="shared" si="13"/>
        <v>31-100</v>
      </c>
      <c r="I26" s="30"/>
      <c r="J26" s="30"/>
      <c r="K26" s="173"/>
      <c r="AB26" s="15" t="s">
        <v>145</v>
      </c>
      <c r="AC26" s="21">
        <v>0.59000010000000003</v>
      </c>
      <c r="AD26" s="21">
        <v>0.83000010000000002</v>
      </c>
      <c r="AE26" s="15" t="s">
        <v>105</v>
      </c>
      <c r="AH26" s="15" t="s">
        <v>100</v>
      </c>
      <c r="AI26" s="15" t="s">
        <v>101</v>
      </c>
      <c r="AJ26" s="15" t="s">
        <v>98</v>
      </c>
      <c r="AK26" s="15" t="s">
        <v>100</v>
      </c>
      <c r="AL26" s="15" t="s">
        <v>102</v>
      </c>
    </row>
    <row r="27" spans="3:38" x14ac:dyDescent="0.4">
      <c r="C27" s="56" t="str">
        <f t="shared" si="0"/>
        <v/>
      </c>
      <c r="D27" s="153"/>
      <c r="E27" s="114" t="str">
        <f>IF(E21 = "Select", "", E21)</f>
        <v/>
      </c>
      <c r="F27" s="30" t="s">
        <v>116</v>
      </c>
      <c r="G27" s="56" t="s">
        <v>106</v>
      </c>
      <c r="H27" s="256" t="str">
        <f t="shared" si="13"/>
        <v>101-150</v>
      </c>
      <c r="I27" s="30"/>
      <c r="J27" s="30"/>
      <c r="K27" s="173"/>
      <c r="AB27" s="15" t="s">
        <v>145</v>
      </c>
      <c r="AC27" s="21">
        <v>0.47000009999999998</v>
      </c>
      <c r="AD27" s="21">
        <v>0.59000010000000003</v>
      </c>
      <c r="AE27" s="15" t="s">
        <v>108</v>
      </c>
      <c r="AH27" s="15" t="s">
        <v>100</v>
      </c>
      <c r="AI27" s="15" t="s">
        <v>101</v>
      </c>
      <c r="AJ27" s="15" t="s">
        <v>98</v>
      </c>
      <c r="AK27" s="15" t="s">
        <v>108</v>
      </c>
      <c r="AL27" s="15" t="s">
        <v>102</v>
      </c>
    </row>
    <row r="28" spans="3:38" x14ac:dyDescent="0.4">
      <c r="C28" s="56" t="str">
        <f t="shared" si="0"/>
        <v/>
      </c>
      <c r="D28" s="153"/>
      <c r="E28" s="114" t="str">
        <f>IF(E21 = "Select", "", E21)</f>
        <v/>
      </c>
      <c r="F28" s="211" t="s">
        <v>116</v>
      </c>
      <c r="G28" s="120" t="s">
        <v>109</v>
      </c>
      <c r="H28" s="257" t="str">
        <f t="shared" si="13"/>
        <v>500+</v>
      </c>
      <c r="I28" s="211"/>
      <c r="J28" s="211"/>
      <c r="K28" s="174"/>
      <c r="AB28" s="15" t="s">
        <v>145</v>
      </c>
      <c r="AC28" s="21">
        <v>0.35000009999999998</v>
      </c>
      <c r="AD28" s="21">
        <v>0.47000009999999998</v>
      </c>
      <c r="AE28" s="15" t="s">
        <v>100</v>
      </c>
      <c r="AH28" s="15" t="s">
        <v>100</v>
      </c>
      <c r="AI28" s="15" t="s">
        <v>101</v>
      </c>
      <c r="AJ28" s="15" t="s">
        <v>98</v>
      </c>
      <c r="AK28" s="15" t="s">
        <v>105</v>
      </c>
      <c r="AL28" s="15" t="s">
        <v>102</v>
      </c>
    </row>
    <row r="29" spans="3:38" x14ac:dyDescent="0.4">
      <c r="C29" s="56" t="str">
        <f t="shared" si="0"/>
        <v/>
      </c>
      <c r="D29" s="153"/>
      <c r="E29" s="114" t="str">
        <f>IF(E21 = "Select", "", E21)</f>
        <v/>
      </c>
      <c r="F29" s="30" t="s">
        <v>117</v>
      </c>
      <c r="G29" s="56" t="s">
        <v>95</v>
      </c>
      <c r="H29" s="256" t="str">
        <f t="shared" si="13"/>
        <v>0-30</v>
      </c>
      <c r="I29" s="30"/>
      <c r="J29" s="30"/>
      <c r="K29" s="173"/>
      <c r="AB29" s="15" t="s">
        <v>145</v>
      </c>
      <c r="AC29" s="21">
        <v>0</v>
      </c>
      <c r="AD29" s="21">
        <v>0.35000009999999998</v>
      </c>
      <c r="AE29" s="15" t="s">
        <v>101</v>
      </c>
      <c r="AF29" s="15" t="s">
        <v>111</v>
      </c>
      <c r="AH29" s="15" t="s">
        <v>100</v>
      </c>
      <c r="AI29" s="15" t="s">
        <v>101</v>
      </c>
      <c r="AJ29" s="15" t="s">
        <v>98</v>
      </c>
      <c r="AK29" s="15" t="s">
        <v>98</v>
      </c>
      <c r="AL29" s="15" t="s">
        <v>102</v>
      </c>
    </row>
    <row r="30" spans="3:38" x14ac:dyDescent="0.4">
      <c r="C30" s="56" t="str">
        <f t="shared" si="0"/>
        <v/>
      </c>
      <c r="D30" s="153"/>
      <c r="E30" s="114" t="str">
        <f>IF(E21 = "Select", "", E21)</f>
        <v/>
      </c>
      <c r="F30" s="30" t="s">
        <v>117</v>
      </c>
      <c r="G30" s="56" t="s">
        <v>103</v>
      </c>
      <c r="H30" s="256" t="str">
        <f t="shared" si="13"/>
        <v>31-100</v>
      </c>
      <c r="I30" s="30"/>
      <c r="J30" s="30"/>
      <c r="K30" s="173"/>
      <c r="AB30" s="15" t="s">
        <v>146</v>
      </c>
      <c r="AC30" s="21">
        <v>8.0000099999999996</v>
      </c>
      <c r="AD30" s="21">
        <v>100</v>
      </c>
      <c r="AE30" s="15" t="s">
        <v>98</v>
      </c>
      <c r="AH30" s="15" t="s">
        <v>100</v>
      </c>
      <c r="AI30" s="15" t="s">
        <v>100</v>
      </c>
      <c r="AJ30" s="15" t="s">
        <v>101</v>
      </c>
      <c r="AK30" s="15" t="s">
        <v>101</v>
      </c>
      <c r="AL30" s="15" t="s">
        <v>102</v>
      </c>
    </row>
    <row r="31" spans="3:38" x14ac:dyDescent="0.4">
      <c r="C31" s="56" t="str">
        <f t="shared" si="0"/>
        <v/>
      </c>
      <c r="D31" s="153"/>
      <c r="E31" s="114" t="str">
        <f>IF(E21 = "Select", "", E21)</f>
        <v/>
      </c>
      <c r="F31" s="30" t="s">
        <v>117</v>
      </c>
      <c r="G31" s="56" t="s">
        <v>106</v>
      </c>
      <c r="H31" s="256" t="str">
        <f t="shared" si="13"/>
        <v>101-150</v>
      </c>
      <c r="I31" s="30"/>
      <c r="J31" s="30"/>
      <c r="K31" s="173"/>
      <c r="AB31" s="15" t="s">
        <v>146</v>
      </c>
      <c r="AC31" s="21">
        <v>6</v>
      </c>
      <c r="AD31" s="21">
        <v>8.0000099999999996</v>
      </c>
      <c r="AE31" s="15" t="s">
        <v>105</v>
      </c>
      <c r="AH31" s="15" t="s">
        <v>100</v>
      </c>
      <c r="AI31" s="15" t="s">
        <v>100</v>
      </c>
      <c r="AJ31" s="15" t="s">
        <v>101</v>
      </c>
      <c r="AK31" s="15" t="s">
        <v>100</v>
      </c>
      <c r="AL31" s="15" t="s">
        <v>102</v>
      </c>
    </row>
    <row r="32" spans="3:38" x14ac:dyDescent="0.4">
      <c r="C32" s="56" t="str">
        <f t="shared" si="0"/>
        <v/>
      </c>
      <c r="D32" s="153"/>
      <c r="E32" s="114" t="str">
        <f>IF(E21 = "Select", "", E21)</f>
        <v/>
      </c>
      <c r="F32" s="211" t="s">
        <v>117</v>
      </c>
      <c r="G32" s="120" t="s">
        <v>109</v>
      </c>
      <c r="H32" s="257" t="str">
        <f t="shared" si="13"/>
        <v>500+</v>
      </c>
      <c r="I32" s="211"/>
      <c r="J32" s="211"/>
      <c r="K32" s="174"/>
      <c r="AB32" s="15" t="s">
        <v>146</v>
      </c>
      <c r="AC32" s="21">
        <v>4</v>
      </c>
      <c r="AD32" s="21">
        <v>6</v>
      </c>
      <c r="AE32" s="15" t="s">
        <v>108</v>
      </c>
      <c r="AH32" s="15" t="s">
        <v>100</v>
      </c>
      <c r="AI32" s="15" t="s">
        <v>100</v>
      </c>
      <c r="AJ32" s="15" t="s">
        <v>101</v>
      </c>
      <c r="AK32" s="15" t="s">
        <v>108</v>
      </c>
      <c r="AL32" s="15" t="s">
        <v>102</v>
      </c>
    </row>
    <row r="33" spans="3:38" x14ac:dyDescent="0.4">
      <c r="C33" s="56" t="str">
        <f t="shared" si="0"/>
        <v/>
      </c>
      <c r="D33" s="153"/>
      <c r="E33" s="114" t="str">
        <f>IF(E21 = "Select", "", E21)</f>
        <v/>
      </c>
      <c r="F33" s="210" t="s">
        <v>122</v>
      </c>
      <c r="G33" s="117" t="s">
        <v>95</v>
      </c>
      <c r="H33" s="255" t="str">
        <f t="shared" si="13"/>
        <v>0-30</v>
      </c>
      <c r="I33" s="210"/>
      <c r="J33" s="210"/>
      <c r="K33" s="172"/>
      <c r="AB33" s="15" t="s">
        <v>146</v>
      </c>
      <c r="AC33" s="21">
        <v>2</v>
      </c>
      <c r="AD33" s="21">
        <v>4</v>
      </c>
      <c r="AE33" s="15" t="s">
        <v>100</v>
      </c>
      <c r="AH33" s="15" t="s">
        <v>100</v>
      </c>
      <c r="AI33" s="15" t="s">
        <v>100</v>
      </c>
      <c r="AJ33" s="15" t="s">
        <v>101</v>
      </c>
      <c r="AK33" s="15" t="s">
        <v>105</v>
      </c>
      <c r="AL33" s="15" t="s">
        <v>102</v>
      </c>
    </row>
    <row r="34" spans="3:38" x14ac:dyDescent="0.4">
      <c r="C34" s="56" t="str">
        <f t="shared" si="0"/>
        <v/>
      </c>
      <c r="D34" s="153"/>
      <c r="E34" s="114" t="str">
        <f>IF(E21 = "Select", "", E21)</f>
        <v/>
      </c>
      <c r="F34" s="30" t="s">
        <v>122</v>
      </c>
      <c r="G34" s="56" t="s">
        <v>103</v>
      </c>
      <c r="H34" s="256" t="str">
        <f t="shared" si="13"/>
        <v>31-100</v>
      </c>
      <c r="I34" s="30"/>
      <c r="J34" s="30"/>
      <c r="K34" s="173"/>
      <c r="AB34" s="15" t="s">
        <v>146</v>
      </c>
      <c r="AC34" s="21">
        <v>0</v>
      </c>
      <c r="AD34" s="21">
        <v>2</v>
      </c>
      <c r="AE34" s="15" t="s">
        <v>101</v>
      </c>
      <c r="AF34" s="15" t="s">
        <v>111</v>
      </c>
      <c r="AH34" s="15" t="s">
        <v>100</v>
      </c>
      <c r="AI34" s="15" t="s">
        <v>100</v>
      </c>
      <c r="AJ34" s="15" t="s">
        <v>101</v>
      </c>
      <c r="AK34" s="15" t="s">
        <v>98</v>
      </c>
      <c r="AL34" s="15" t="s">
        <v>102</v>
      </c>
    </row>
    <row r="35" spans="3:38" x14ac:dyDescent="0.4">
      <c r="C35" s="56" t="str">
        <f t="shared" si="0"/>
        <v/>
      </c>
      <c r="D35" s="153"/>
      <c r="E35" s="114" t="str">
        <f>IF(E21 = "Select", "", E21)</f>
        <v/>
      </c>
      <c r="F35" s="30" t="s">
        <v>122</v>
      </c>
      <c r="G35" s="56" t="s">
        <v>106</v>
      </c>
      <c r="H35" s="256" t="str">
        <f t="shared" si="13"/>
        <v>101-150</v>
      </c>
      <c r="I35" s="30"/>
      <c r="J35" s="30"/>
      <c r="K35" s="173"/>
      <c r="AB35" s="15" t="s">
        <v>147</v>
      </c>
      <c r="AC35" s="21">
        <v>16.00001</v>
      </c>
      <c r="AD35" s="21">
        <v>10000000</v>
      </c>
      <c r="AE35" s="15" t="s">
        <v>98</v>
      </c>
      <c r="AF35" s="15" t="s">
        <v>141</v>
      </c>
      <c r="AH35" s="15" t="s">
        <v>100</v>
      </c>
      <c r="AI35" s="15" t="s">
        <v>100</v>
      </c>
      <c r="AJ35" s="15" t="s">
        <v>100</v>
      </c>
      <c r="AK35" s="15" t="s">
        <v>101</v>
      </c>
      <c r="AL35" s="15" t="s">
        <v>102</v>
      </c>
    </row>
    <row r="36" spans="3:38" x14ac:dyDescent="0.4">
      <c r="C36" s="56" t="str">
        <f t="shared" si="0"/>
        <v/>
      </c>
      <c r="D36" s="153"/>
      <c r="E36" s="115" t="str">
        <f>IF(E21 = "Select", "", E21)</f>
        <v/>
      </c>
      <c r="F36" s="211" t="s">
        <v>122</v>
      </c>
      <c r="G36" s="120" t="s">
        <v>109</v>
      </c>
      <c r="H36" s="257" t="str">
        <f t="shared" si="13"/>
        <v>500+</v>
      </c>
      <c r="I36" s="211"/>
      <c r="J36" s="211"/>
      <c r="K36" s="174"/>
      <c r="AB36" s="15" t="s">
        <v>147</v>
      </c>
      <c r="AC36" s="21">
        <v>11.7</v>
      </c>
      <c r="AD36" s="21">
        <v>16.00001</v>
      </c>
      <c r="AE36" s="15" t="s">
        <v>105</v>
      </c>
      <c r="AH36" s="15" t="s">
        <v>100</v>
      </c>
      <c r="AI36" s="15" t="s">
        <v>100</v>
      </c>
      <c r="AJ36" s="15" t="s">
        <v>100</v>
      </c>
      <c r="AK36" s="15" t="s">
        <v>100</v>
      </c>
      <c r="AL36" s="15" t="s">
        <v>102</v>
      </c>
    </row>
    <row r="37" spans="3:38" x14ac:dyDescent="0.4">
      <c r="C37" s="56" t="str">
        <f t="shared" si="0"/>
        <v/>
      </c>
      <c r="D37" s="153"/>
      <c r="E37" s="192" t="s">
        <v>93</v>
      </c>
      <c r="F37" s="210" t="s">
        <v>94</v>
      </c>
      <c r="G37" s="117" t="s">
        <v>95</v>
      </c>
      <c r="H37" s="255" t="str">
        <f>H21</f>
        <v>0-30</v>
      </c>
      <c r="I37" s="210"/>
      <c r="J37" s="210"/>
      <c r="K37" s="172"/>
      <c r="AB37" s="15" t="s">
        <v>147</v>
      </c>
      <c r="AC37" s="21">
        <v>7.5</v>
      </c>
      <c r="AD37" s="21">
        <v>11.7</v>
      </c>
      <c r="AE37" s="15" t="s">
        <v>108</v>
      </c>
      <c r="AH37" s="15" t="s">
        <v>100</v>
      </c>
      <c r="AI37" s="15" t="s">
        <v>100</v>
      </c>
      <c r="AJ37" s="15" t="s">
        <v>100</v>
      </c>
      <c r="AK37" s="15" t="s">
        <v>108</v>
      </c>
      <c r="AL37" s="15" t="s">
        <v>102</v>
      </c>
    </row>
    <row r="38" spans="3:38" x14ac:dyDescent="0.4">
      <c r="C38" s="56" t="str">
        <f t="shared" si="0"/>
        <v/>
      </c>
      <c r="D38" s="153"/>
      <c r="E38" s="114" t="str">
        <f>IF(E37 = "Select", "", E37)</f>
        <v/>
      </c>
      <c r="F38" s="30" t="s">
        <v>94</v>
      </c>
      <c r="G38" s="56" t="s">
        <v>103</v>
      </c>
      <c r="H38" s="256" t="str">
        <f t="shared" si="13"/>
        <v>31-100</v>
      </c>
      <c r="I38" s="30"/>
      <c r="J38" s="30"/>
      <c r="K38" s="173"/>
      <c r="AB38" s="15" t="s">
        <v>147</v>
      </c>
      <c r="AC38" s="21">
        <v>5.4</v>
      </c>
      <c r="AD38" s="21">
        <v>7.5</v>
      </c>
      <c r="AE38" s="15" t="s">
        <v>100</v>
      </c>
      <c r="AH38" s="15" t="s">
        <v>100</v>
      </c>
      <c r="AI38" s="15" t="s">
        <v>100</v>
      </c>
      <c r="AJ38" s="15" t="s">
        <v>100</v>
      </c>
      <c r="AK38" s="15" t="s">
        <v>105</v>
      </c>
      <c r="AL38" s="15" t="s">
        <v>102</v>
      </c>
    </row>
    <row r="39" spans="3:38" x14ac:dyDescent="0.4">
      <c r="C39" s="56" t="str">
        <f t="shared" si="0"/>
        <v/>
      </c>
      <c r="D39" s="153"/>
      <c r="E39" s="114" t="str">
        <f>IF(E37 = "Select", "", E37)</f>
        <v/>
      </c>
      <c r="F39" s="30" t="s">
        <v>94</v>
      </c>
      <c r="G39" s="56" t="s">
        <v>106</v>
      </c>
      <c r="H39" s="256" t="str">
        <f t="shared" si="13"/>
        <v>101-150</v>
      </c>
      <c r="I39" s="30"/>
      <c r="J39" s="30"/>
      <c r="K39" s="173"/>
      <c r="AB39" s="15" t="s">
        <v>147</v>
      </c>
      <c r="AC39" s="21">
        <v>0</v>
      </c>
      <c r="AD39" s="21">
        <v>5.4</v>
      </c>
      <c r="AE39" s="15" t="s">
        <v>101</v>
      </c>
      <c r="AF39" s="15" t="s">
        <v>111</v>
      </c>
      <c r="AH39" s="15" t="s">
        <v>100</v>
      </c>
      <c r="AI39" s="15" t="s">
        <v>100</v>
      </c>
      <c r="AJ39" s="15" t="s">
        <v>100</v>
      </c>
      <c r="AK39" s="15" t="s">
        <v>98</v>
      </c>
      <c r="AL39" s="15" t="s">
        <v>102</v>
      </c>
    </row>
    <row r="40" spans="3:38" x14ac:dyDescent="0.4">
      <c r="C40" s="56" t="str">
        <f t="shared" si="0"/>
        <v/>
      </c>
      <c r="D40" s="153"/>
      <c r="E40" s="114" t="str">
        <f>IF(E37 = "Select", "", E37)</f>
        <v/>
      </c>
      <c r="F40" s="30" t="s">
        <v>94</v>
      </c>
      <c r="G40" s="56" t="s">
        <v>109</v>
      </c>
      <c r="H40" s="256" t="str">
        <f t="shared" si="13"/>
        <v>500+</v>
      </c>
      <c r="I40" s="30"/>
      <c r="J40" s="30"/>
      <c r="K40" s="173"/>
      <c r="AB40" s="15" t="s">
        <v>148</v>
      </c>
      <c r="AC40" s="21">
        <v>16.00001</v>
      </c>
      <c r="AD40" s="21">
        <v>10000000</v>
      </c>
      <c r="AE40" s="15" t="s">
        <v>98</v>
      </c>
      <c r="AF40" s="15" t="s">
        <v>141</v>
      </c>
      <c r="AH40" s="15" t="s">
        <v>100</v>
      </c>
      <c r="AI40" s="15" t="s">
        <v>100</v>
      </c>
      <c r="AJ40" s="15" t="s">
        <v>108</v>
      </c>
      <c r="AK40" s="15" t="s">
        <v>101</v>
      </c>
      <c r="AL40" s="15" t="s">
        <v>102</v>
      </c>
    </row>
    <row r="41" spans="3:38" x14ac:dyDescent="0.4">
      <c r="C41" s="56" t="str">
        <f t="shared" si="0"/>
        <v/>
      </c>
      <c r="D41" s="153"/>
      <c r="E41" s="114" t="str">
        <f>IF(E37 = "Select", "", E37)</f>
        <v/>
      </c>
      <c r="F41" s="210" t="s">
        <v>116</v>
      </c>
      <c r="G41" s="117" t="s">
        <v>95</v>
      </c>
      <c r="H41" s="255" t="str">
        <f t="shared" si="13"/>
        <v>0-30</v>
      </c>
      <c r="I41" s="210"/>
      <c r="J41" s="210"/>
      <c r="K41" s="172"/>
      <c r="AB41" s="15" t="s">
        <v>148</v>
      </c>
      <c r="AC41" s="21">
        <v>12</v>
      </c>
      <c r="AD41" s="21">
        <v>16.00001</v>
      </c>
      <c r="AE41" s="15" t="s">
        <v>105</v>
      </c>
      <c r="AH41" s="15" t="s">
        <v>100</v>
      </c>
      <c r="AI41" s="15" t="s">
        <v>100</v>
      </c>
      <c r="AJ41" s="15" t="s">
        <v>108</v>
      </c>
      <c r="AK41" s="15" t="s">
        <v>100</v>
      </c>
      <c r="AL41" s="15" t="s">
        <v>102</v>
      </c>
    </row>
    <row r="42" spans="3:38" x14ac:dyDescent="0.4">
      <c r="C42" s="56" t="str">
        <f t="shared" si="0"/>
        <v/>
      </c>
      <c r="D42" s="153"/>
      <c r="E42" s="114" t="str">
        <f>IF(E37 = "Select", "", E37)</f>
        <v/>
      </c>
      <c r="F42" s="30" t="s">
        <v>116</v>
      </c>
      <c r="G42" s="56" t="s">
        <v>103</v>
      </c>
      <c r="H42" s="256" t="str">
        <f t="shared" si="13"/>
        <v>31-100</v>
      </c>
      <c r="I42" s="30"/>
      <c r="J42" s="30"/>
      <c r="K42" s="173"/>
      <c r="AB42" s="15" t="s">
        <v>148</v>
      </c>
      <c r="AC42" s="21">
        <v>8</v>
      </c>
      <c r="AD42" s="21">
        <v>12</v>
      </c>
      <c r="AE42" s="15" t="s">
        <v>108</v>
      </c>
      <c r="AH42" s="15" t="s">
        <v>100</v>
      </c>
      <c r="AI42" s="15" t="s">
        <v>100</v>
      </c>
      <c r="AJ42" s="15" t="s">
        <v>108</v>
      </c>
      <c r="AK42" s="15" t="s">
        <v>108</v>
      </c>
      <c r="AL42" s="15" t="s">
        <v>102</v>
      </c>
    </row>
    <row r="43" spans="3:38" x14ac:dyDescent="0.4">
      <c r="C43" s="56" t="str">
        <f t="shared" si="0"/>
        <v/>
      </c>
      <c r="D43" s="153"/>
      <c r="E43" s="114" t="str">
        <f>IF(E37 = "Select", "", E37)</f>
        <v/>
      </c>
      <c r="F43" s="30" t="s">
        <v>116</v>
      </c>
      <c r="G43" s="56" t="s">
        <v>106</v>
      </c>
      <c r="H43" s="256" t="str">
        <f t="shared" si="13"/>
        <v>101-150</v>
      </c>
      <c r="I43" s="30"/>
      <c r="J43" s="30"/>
      <c r="K43" s="173"/>
      <c r="AB43" s="15" t="s">
        <v>148</v>
      </c>
      <c r="AC43" s="21">
        <v>4</v>
      </c>
      <c r="AD43" s="21">
        <v>8</v>
      </c>
      <c r="AE43" s="15" t="s">
        <v>100</v>
      </c>
      <c r="AH43" s="15" t="s">
        <v>100</v>
      </c>
      <c r="AI43" s="15" t="s">
        <v>100</v>
      </c>
      <c r="AJ43" s="15" t="s">
        <v>108</v>
      </c>
      <c r="AK43" s="15" t="s">
        <v>105</v>
      </c>
      <c r="AL43" s="15" t="s">
        <v>102</v>
      </c>
    </row>
    <row r="44" spans="3:38" x14ac:dyDescent="0.4">
      <c r="C44" s="56" t="str">
        <f t="shared" si="0"/>
        <v/>
      </c>
      <c r="D44" s="153"/>
      <c r="E44" s="114" t="str">
        <f>IF(E37 = "Select", "", E37)</f>
        <v/>
      </c>
      <c r="F44" s="211" t="s">
        <v>116</v>
      </c>
      <c r="G44" s="120" t="s">
        <v>109</v>
      </c>
      <c r="H44" s="257" t="str">
        <f t="shared" si="13"/>
        <v>500+</v>
      </c>
      <c r="I44" s="211"/>
      <c r="J44" s="211"/>
      <c r="K44" s="174"/>
      <c r="AB44" s="15" t="s">
        <v>148</v>
      </c>
      <c r="AC44" s="21">
        <v>0</v>
      </c>
      <c r="AD44" s="21">
        <v>4</v>
      </c>
      <c r="AE44" s="15" t="s">
        <v>101</v>
      </c>
      <c r="AF44" s="15" t="s">
        <v>111</v>
      </c>
      <c r="AH44" s="15" t="s">
        <v>100</v>
      </c>
      <c r="AI44" s="15" t="s">
        <v>100</v>
      </c>
      <c r="AJ44" s="15" t="s">
        <v>108</v>
      </c>
      <c r="AK44" s="15" t="s">
        <v>98</v>
      </c>
      <c r="AL44" s="15" t="s">
        <v>102</v>
      </c>
    </row>
    <row r="45" spans="3:38" x14ac:dyDescent="0.4">
      <c r="C45" s="56" t="str">
        <f t="shared" si="0"/>
        <v/>
      </c>
      <c r="D45" s="153"/>
      <c r="E45" s="114" t="str">
        <f>IF(E37 = "Select", "", E37)</f>
        <v/>
      </c>
      <c r="F45" s="30" t="s">
        <v>117</v>
      </c>
      <c r="G45" s="56" t="s">
        <v>95</v>
      </c>
      <c r="H45" s="256" t="str">
        <f t="shared" si="13"/>
        <v>0-30</v>
      </c>
      <c r="I45" s="30"/>
      <c r="J45" s="30"/>
      <c r="K45" s="173"/>
      <c r="AB45" s="15" t="s">
        <v>149</v>
      </c>
      <c r="AC45" s="21">
        <v>20.80001</v>
      </c>
      <c r="AD45" s="21">
        <v>10000000</v>
      </c>
      <c r="AE45" s="15" t="s">
        <v>98</v>
      </c>
      <c r="AF45" s="15" t="s">
        <v>141</v>
      </c>
      <c r="AH45" s="15" t="s">
        <v>100</v>
      </c>
      <c r="AI45" s="15" t="s">
        <v>100</v>
      </c>
      <c r="AJ45" s="15" t="s">
        <v>105</v>
      </c>
      <c r="AK45" s="15" t="s">
        <v>101</v>
      </c>
      <c r="AL45" s="15" t="s">
        <v>102</v>
      </c>
    </row>
    <row r="46" spans="3:38" x14ac:dyDescent="0.4">
      <c r="C46" s="56" t="str">
        <f t="shared" si="0"/>
        <v/>
      </c>
      <c r="D46" s="153"/>
      <c r="E46" s="114" t="str">
        <f>IF(E37 = "Select", "", E37)</f>
        <v/>
      </c>
      <c r="F46" s="30" t="s">
        <v>117</v>
      </c>
      <c r="G46" s="56" t="s">
        <v>103</v>
      </c>
      <c r="H46" s="256" t="str">
        <f t="shared" si="13"/>
        <v>31-100</v>
      </c>
      <c r="I46" s="30"/>
      <c r="J46" s="30"/>
      <c r="K46" s="173"/>
      <c r="AB46" s="15" t="s">
        <v>149</v>
      </c>
      <c r="AC46" s="21">
        <v>9.1999999999999993</v>
      </c>
      <c r="AD46" s="21">
        <v>20.800001000000002</v>
      </c>
      <c r="AE46" s="15" t="s">
        <v>105</v>
      </c>
      <c r="AH46" s="15" t="s">
        <v>100</v>
      </c>
      <c r="AI46" s="15" t="s">
        <v>100</v>
      </c>
      <c r="AJ46" s="15" t="s">
        <v>105</v>
      </c>
      <c r="AK46" s="15" t="s">
        <v>100</v>
      </c>
      <c r="AL46" s="15" t="s">
        <v>102</v>
      </c>
    </row>
    <row r="47" spans="3:38" x14ac:dyDescent="0.4">
      <c r="C47" s="56" t="str">
        <f t="shared" si="0"/>
        <v/>
      </c>
      <c r="D47" s="153"/>
      <c r="E47" s="114" t="str">
        <f>IF(E37 = "Select", "", E37)</f>
        <v/>
      </c>
      <c r="F47" s="30" t="s">
        <v>117</v>
      </c>
      <c r="G47" s="56" t="s">
        <v>106</v>
      </c>
      <c r="H47" s="256" t="str">
        <f t="shared" si="13"/>
        <v>101-150</v>
      </c>
      <c r="I47" s="30"/>
      <c r="J47" s="30"/>
      <c r="K47" s="173"/>
      <c r="AB47" s="15" t="s">
        <v>149</v>
      </c>
      <c r="AC47" s="21">
        <v>5.7</v>
      </c>
      <c r="AD47" s="21">
        <v>9.1999999999999993</v>
      </c>
      <c r="AE47" s="15" t="s">
        <v>108</v>
      </c>
      <c r="AH47" s="15" t="s">
        <v>100</v>
      </c>
      <c r="AI47" s="15" t="s">
        <v>100</v>
      </c>
      <c r="AJ47" s="15" t="s">
        <v>105</v>
      </c>
      <c r="AK47" s="15" t="s">
        <v>108</v>
      </c>
      <c r="AL47" s="15" t="s">
        <v>102</v>
      </c>
    </row>
    <row r="48" spans="3:38" x14ac:dyDescent="0.4">
      <c r="C48" s="56" t="str">
        <f t="shared" si="0"/>
        <v/>
      </c>
      <c r="D48" s="153"/>
      <c r="E48" s="114" t="str">
        <f>IF(E37 = "Select", "", E37)</f>
        <v/>
      </c>
      <c r="F48" s="211" t="s">
        <v>117</v>
      </c>
      <c r="G48" s="120" t="s">
        <v>109</v>
      </c>
      <c r="H48" s="257" t="str">
        <f t="shared" si="13"/>
        <v>500+</v>
      </c>
      <c r="I48" s="211"/>
      <c r="J48" s="211"/>
      <c r="K48" s="174"/>
      <c r="AB48" s="15" t="s">
        <v>149</v>
      </c>
      <c r="AC48" s="21">
        <v>1.9</v>
      </c>
      <c r="AD48" s="21">
        <v>5.7</v>
      </c>
      <c r="AE48" s="15" t="s">
        <v>100</v>
      </c>
      <c r="AH48" s="15" t="s">
        <v>100</v>
      </c>
      <c r="AI48" s="15" t="s">
        <v>100</v>
      </c>
      <c r="AJ48" s="15" t="s">
        <v>105</v>
      </c>
      <c r="AK48" s="15" t="s">
        <v>105</v>
      </c>
      <c r="AL48" s="15" t="s">
        <v>102</v>
      </c>
    </row>
    <row r="49" spans="3:38" x14ac:dyDescent="0.4">
      <c r="C49" s="56" t="str">
        <f t="shared" si="0"/>
        <v/>
      </c>
      <c r="D49" s="153"/>
      <c r="E49" s="114" t="str">
        <f>IF(E37 = "Select", "", E37)</f>
        <v/>
      </c>
      <c r="F49" s="30" t="s">
        <v>122</v>
      </c>
      <c r="G49" s="56" t="s">
        <v>95</v>
      </c>
      <c r="H49" s="256" t="str">
        <f t="shared" si="13"/>
        <v>0-30</v>
      </c>
      <c r="I49" s="30"/>
      <c r="J49" s="30"/>
      <c r="K49" s="173"/>
      <c r="AB49" s="15" t="s">
        <v>149</v>
      </c>
      <c r="AC49" s="21">
        <v>0</v>
      </c>
      <c r="AD49" s="21">
        <v>1.9</v>
      </c>
      <c r="AE49" s="15" t="s">
        <v>101</v>
      </c>
      <c r="AF49" s="15" t="s">
        <v>111</v>
      </c>
      <c r="AH49" s="15" t="s">
        <v>100</v>
      </c>
      <c r="AI49" s="15" t="s">
        <v>100</v>
      </c>
      <c r="AJ49" s="15" t="s">
        <v>105</v>
      </c>
      <c r="AK49" s="15" t="s">
        <v>98</v>
      </c>
      <c r="AL49" s="15" t="s">
        <v>102</v>
      </c>
    </row>
    <row r="50" spans="3:38" x14ac:dyDescent="0.4">
      <c r="C50" s="56" t="str">
        <f t="shared" si="0"/>
        <v/>
      </c>
      <c r="D50" s="153"/>
      <c r="E50" s="114" t="str">
        <f>IF(E37 = "Select", "", E37)</f>
        <v/>
      </c>
      <c r="F50" s="30" t="s">
        <v>122</v>
      </c>
      <c r="G50" s="56" t="s">
        <v>103</v>
      </c>
      <c r="H50" s="256" t="str">
        <f t="shared" si="13"/>
        <v>31-100</v>
      </c>
      <c r="I50" s="30"/>
      <c r="J50" s="30"/>
      <c r="K50" s="173"/>
      <c r="AB50" s="15" t="s">
        <v>150</v>
      </c>
      <c r="AC50" s="21">
        <v>0.67000009999999999</v>
      </c>
      <c r="AD50" s="21">
        <v>10000000</v>
      </c>
      <c r="AE50" s="15" t="s">
        <v>98</v>
      </c>
      <c r="AF50" s="15" t="s">
        <v>141</v>
      </c>
      <c r="AH50" s="15" t="s">
        <v>100</v>
      </c>
      <c r="AI50" s="15" t="s">
        <v>100</v>
      </c>
      <c r="AJ50" s="15" t="s">
        <v>98</v>
      </c>
      <c r="AK50" s="15" t="s">
        <v>101</v>
      </c>
      <c r="AL50" s="15" t="s">
        <v>102</v>
      </c>
    </row>
    <row r="51" spans="3:38" x14ac:dyDescent="0.4">
      <c r="C51" s="56" t="str">
        <f t="shared" si="0"/>
        <v/>
      </c>
      <c r="D51" s="153"/>
      <c r="E51" s="114" t="str">
        <f>IF(E37 = "Select", "", E37)</f>
        <v/>
      </c>
      <c r="F51" s="30" t="s">
        <v>122</v>
      </c>
      <c r="G51" s="56" t="s">
        <v>106</v>
      </c>
      <c r="H51" s="256" t="str">
        <f t="shared" si="13"/>
        <v>101-150</v>
      </c>
      <c r="I51" s="30"/>
      <c r="J51" s="30"/>
      <c r="K51" s="173"/>
      <c r="AB51" s="15" t="s">
        <v>150</v>
      </c>
      <c r="AC51" s="21">
        <v>0.5</v>
      </c>
      <c r="AD51" s="21">
        <v>0.67000009999999999</v>
      </c>
      <c r="AE51" s="15" t="s">
        <v>105</v>
      </c>
      <c r="AH51" s="15" t="s">
        <v>100</v>
      </c>
      <c r="AI51" s="15" t="s">
        <v>100</v>
      </c>
      <c r="AJ51" s="15" t="s">
        <v>98</v>
      </c>
      <c r="AK51" s="15" t="s">
        <v>100</v>
      </c>
      <c r="AL51" s="15" t="s">
        <v>102</v>
      </c>
    </row>
    <row r="52" spans="3:38" x14ac:dyDescent="0.4">
      <c r="C52" s="56" t="str">
        <f t="shared" si="0"/>
        <v/>
      </c>
      <c r="D52" s="153"/>
      <c r="E52" s="115" t="str">
        <f>IF(E37 = "Select", "", E37)</f>
        <v/>
      </c>
      <c r="F52" s="211" t="s">
        <v>122</v>
      </c>
      <c r="G52" s="120" t="s">
        <v>109</v>
      </c>
      <c r="H52" s="257" t="str">
        <f t="shared" si="13"/>
        <v>500+</v>
      </c>
      <c r="I52" s="211"/>
      <c r="J52" s="211"/>
      <c r="K52" s="174"/>
      <c r="AB52" s="15" t="s">
        <v>150</v>
      </c>
      <c r="AC52" s="21">
        <v>0.42</v>
      </c>
      <c r="AD52" s="21">
        <v>0.5</v>
      </c>
      <c r="AE52" s="15" t="s">
        <v>108</v>
      </c>
      <c r="AH52" s="15" t="s">
        <v>100</v>
      </c>
      <c r="AI52" s="15" t="s">
        <v>100</v>
      </c>
      <c r="AJ52" s="15" t="s">
        <v>98</v>
      </c>
      <c r="AK52" s="15" t="s">
        <v>108</v>
      </c>
      <c r="AL52" s="15" t="s">
        <v>102</v>
      </c>
    </row>
    <row r="53" spans="3:38" x14ac:dyDescent="0.4">
      <c r="AB53" s="15" t="s">
        <v>150</v>
      </c>
      <c r="AC53" s="21">
        <v>0.33</v>
      </c>
      <c r="AD53" s="21">
        <v>0.42</v>
      </c>
      <c r="AE53" s="15" t="s">
        <v>100</v>
      </c>
      <c r="AH53" s="15" t="s">
        <v>100</v>
      </c>
      <c r="AI53" s="15" t="s">
        <v>100</v>
      </c>
      <c r="AJ53" s="15" t="s">
        <v>98</v>
      </c>
      <c r="AK53" s="15" t="s">
        <v>105</v>
      </c>
      <c r="AL53" s="15" t="s">
        <v>102</v>
      </c>
    </row>
    <row r="54" spans="3:38" x14ac:dyDescent="0.4">
      <c r="AB54" s="15" t="s">
        <v>150</v>
      </c>
      <c r="AC54" s="21">
        <v>0</v>
      </c>
      <c r="AD54" s="21">
        <v>0.33</v>
      </c>
      <c r="AE54" s="15" t="s">
        <v>101</v>
      </c>
      <c r="AF54" s="15" t="s">
        <v>111</v>
      </c>
      <c r="AH54" s="15" t="s">
        <v>100</v>
      </c>
      <c r="AI54" s="15" t="s">
        <v>100</v>
      </c>
      <c r="AJ54" s="15" t="s">
        <v>98</v>
      </c>
      <c r="AK54" s="15" t="s">
        <v>98</v>
      </c>
      <c r="AL54" s="15" t="s">
        <v>102</v>
      </c>
    </row>
    <row r="55" spans="3:38" x14ac:dyDescent="0.4">
      <c r="D55" s="18" t="s">
        <v>1927</v>
      </c>
      <c r="AB55" s="15" t="s">
        <v>151</v>
      </c>
      <c r="AC55" s="21">
        <v>0.86000010000000005</v>
      </c>
      <c r="AD55" s="21">
        <v>10000000</v>
      </c>
      <c r="AE55" s="15" t="s">
        <v>98</v>
      </c>
      <c r="AF55" s="15" t="s">
        <v>141</v>
      </c>
      <c r="AH55" s="15" t="s">
        <v>100</v>
      </c>
      <c r="AI55" s="15" t="s">
        <v>108</v>
      </c>
      <c r="AJ55" s="15" t="s">
        <v>101</v>
      </c>
      <c r="AK55" s="15" t="s">
        <v>101</v>
      </c>
      <c r="AL55" s="15" t="s">
        <v>102</v>
      </c>
    </row>
    <row r="56" spans="3:38" hidden="1" x14ac:dyDescent="0.4">
      <c r="C56" s="15">
        <v>5.1100000000000003</v>
      </c>
      <c r="D56" s="15">
        <v>5.12</v>
      </c>
      <c r="E56" s="15">
        <v>5.13</v>
      </c>
      <c r="F56" s="15">
        <v>5.14</v>
      </c>
      <c r="G56" s="15">
        <v>5.15</v>
      </c>
      <c r="H56" s="15">
        <v>5.16</v>
      </c>
      <c r="AB56" s="15" t="s">
        <v>151</v>
      </c>
      <c r="AC56" s="21">
        <v>0.68</v>
      </c>
      <c r="AD56" s="21">
        <v>0.86000010000000005</v>
      </c>
      <c r="AE56" s="15" t="s">
        <v>105</v>
      </c>
      <c r="AH56" s="15" t="s">
        <v>100</v>
      </c>
      <c r="AI56" s="15" t="s">
        <v>108</v>
      </c>
      <c r="AJ56" s="15" t="s">
        <v>101</v>
      </c>
      <c r="AK56" s="15" t="s">
        <v>100</v>
      </c>
      <c r="AL56" s="15" t="s">
        <v>102</v>
      </c>
    </row>
    <row r="57" spans="3:38" x14ac:dyDescent="0.4">
      <c r="C57" s="59" t="s">
        <v>44</v>
      </c>
      <c r="D57" s="59" t="s">
        <v>152</v>
      </c>
      <c r="E57" s="59" t="s">
        <v>80</v>
      </c>
      <c r="F57" s="59" t="s">
        <v>124</v>
      </c>
      <c r="G57" s="59" t="s">
        <v>125</v>
      </c>
      <c r="H57" s="59" t="s">
        <v>126</v>
      </c>
      <c r="AB57" s="15" t="s">
        <v>151</v>
      </c>
      <c r="AC57" s="21">
        <v>0.43</v>
      </c>
      <c r="AD57" s="21">
        <v>0.68</v>
      </c>
      <c r="AE57" s="15" t="s">
        <v>108</v>
      </c>
      <c r="AH57" s="15" t="s">
        <v>100</v>
      </c>
      <c r="AI57" s="15" t="s">
        <v>108</v>
      </c>
      <c r="AJ57" s="15" t="s">
        <v>101</v>
      </c>
      <c r="AK57" s="15" t="s">
        <v>108</v>
      </c>
      <c r="AL57" s="15" t="s">
        <v>102</v>
      </c>
    </row>
    <row r="58" spans="3:38" x14ac:dyDescent="0.4">
      <c r="C58" s="67" t="str">
        <f>C5</f>
        <v/>
      </c>
      <c r="D58" s="67" t="str">
        <f>E6</f>
        <v/>
      </c>
      <c r="E58" s="67" t="str">
        <f>G5</f>
        <v>Sampling zone 1</v>
      </c>
      <c r="F58" s="56" t="str">
        <f>IFERROR(AVERAGE(I5:J5,I9:J9,I13:J13,I17:J17),"")</f>
        <v/>
      </c>
      <c r="G58" s="106" t="str" cm="1">
        <f t="array" ref="G58" xml:space="preserve"> IFERROR(INDEX(Table9[EQS category ref], MATCH(1, (Table56[[#This Row],[Biotic indicator]]=Table9[Biotic index ref])*(Table56[[#This Row],[Avg. indicator value]]&gt;=Table9[Equal or larger than (x≥)])*(Table56[[#This Row],[Avg. indicator value]]&lt;Table9[smaller than (x&lt;)]),0)),"")</f>
        <v/>
      </c>
      <c r="H58" s="56" t="str" cm="1">
        <f t="array" ref="H58">IFERROR(_xlfn.IFS(Table56[[#This Row],[EQS category]]="Bad",5, Table56[[#This Row],[EQS category]]="Poor",4, Table56[[#This Row],[EQS category]]="Moderate",3, Table56[[#This Row],[EQS category]]="Good",2, Table56[[#This Row],[EQS category]]="High",1),"")</f>
        <v/>
      </c>
      <c r="AB58" s="15" t="s">
        <v>151</v>
      </c>
      <c r="AC58" s="21">
        <v>0.2</v>
      </c>
      <c r="AD58" s="21">
        <v>0.43</v>
      </c>
      <c r="AE58" s="15" t="s">
        <v>100</v>
      </c>
      <c r="AH58" s="15" t="s">
        <v>100</v>
      </c>
      <c r="AI58" s="15" t="s">
        <v>108</v>
      </c>
      <c r="AJ58" s="15" t="s">
        <v>101</v>
      </c>
      <c r="AK58" s="15" t="s">
        <v>105</v>
      </c>
      <c r="AL58" s="15" t="s">
        <v>102</v>
      </c>
    </row>
    <row r="59" spans="3:38" x14ac:dyDescent="0.4">
      <c r="C59" s="67" t="str">
        <f>C21</f>
        <v/>
      </c>
      <c r="D59" s="67" t="str">
        <f>E22</f>
        <v/>
      </c>
      <c r="E59" s="67" t="str">
        <f>G21</f>
        <v>Sampling zone 1</v>
      </c>
      <c r="F59" s="56" t="str">
        <f>IFERROR(AVERAGE(I21:J21,I25:J25,I29:J29,I33:J33),"")</f>
        <v/>
      </c>
      <c r="G59" s="56" t="str" cm="1">
        <f t="array" ref="G59" xml:space="preserve"> IFERROR(INDEX(Table9[EQS category ref], MATCH(1, (Table56[[#This Row],[Biotic indicator]]=Table9[Biotic index ref])*(Table56[[#This Row],[Avg. indicator value]]&gt;=Table9[Equal or larger than (x≥)])*(Table56[[#This Row],[Avg. indicator value]]&lt;Table9[smaller than (x&lt;)]),0)),"")</f>
        <v/>
      </c>
      <c r="H59" s="56" t="str" cm="1">
        <f t="array" ref="H59">IFERROR(_xlfn.IFS(Table56[[#This Row],[EQS category]]="Bad",5, Table56[[#This Row],[EQS category]]="Poor",4, Table56[[#This Row],[EQS category]]="Moderate",3, Table56[[#This Row],[EQS category]]="Good",2, Table56[[#This Row],[EQS category]]="High",1),"")</f>
        <v/>
      </c>
      <c r="AB59" s="15" t="s">
        <v>151</v>
      </c>
      <c r="AC59" s="21">
        <v>0</v>
      </c>
      <c r="AD59" s="21">
        <v>0.2</v>
      </c>
      <c r="AE59" s="15" t="s">
        <v>101</v>
      </c>
      <c r="AF59" s="15" t="s">
        <v>111</v>
      </c>
      <c r="AH59" s="15" t="s">
        <v>100</v>
      </c>
      <c r="AI59" s="15" t="s">
        <v>108</v>
      </c>
      <c r="AJ59" s="15" t="s">
        <v>101</v>
      </c>
      <c r="AK59" s="15" t="s">
        <v>98</v>
      </c>
      <c r="AL59" s="15" t="s">
        <v>102</v>
      </c>
    </row>
    <row r="60" spans="3:38" x14ac:dyDescent="0.4">
      <c r="C60" s="67" t="str">
        <f>C37</f>
        <v/>
      </c>
      <c r="D60" s="67" t="str">
        <f>E38</f>
        <v/>
      </c>
      <c r="E60" s="67" t="str">
        <f>G37</f>
        <v>Sampling zone 1</v>
      </c>
      <c r="F60" s="56" t="str">
        <f>IFERROR(AVERAGE(I37:J37,I41:J41,I45:J45,I49:J49),"")</f>
        <v/>
      </c>
      <c r="G60" s="56" t="str" cm="1">
        <f t="array" ref="G60" xml:space="preserve"> IFERROR(INDEX(Table9[EQS category ref], MATCH(1, (Table56[[#This Row],[Biotic indicator]]=Table9[Biotic index ref])*(Table56[[#This Row],[Avg. indicator value]]&gt;=Table9[Equal or larger than (x≥)])*(Table56[[#This Row],[Avg. indicator value]]&lt;Table9[smaller than (x&lt;)]),0)),"")</f>
        <v/>
      </c>
      <c r="H60" s="56" t="str" cm="1">
        <f t="array" ref="H60">IFERROR(_xlfn.IFS(Table56[[#This Row],[EQS category]]="Bad",5, Table56[[#This Row],[EQS category]]="Poor",4, Table56[[#This Row],[EQS category]]="Moderate",3, Table56[[#This Row],[EQS category]]="Good",2, Table56[[#This Row],[EQS category]]="High",1),"")</f>
        <v/>
      </c>
      <c r="AB60" s="15" t="s">
        <v>153</v>
      </c>
      <c r="AC60" s="21">
        <v>27.400001</v>
      </c>
      <c r="AD60" s="21">
        <v>10000000</v>
      </c>
      <c r="AE60" s="15" t="s">
        <v>98</v>
      </c>
      <c r="AF60" s="15" t="s">
        <v>141</v>
      </c>
      <c r="AH60" s="15" t="s">
        <v>100</v>
      </c>
      <c r="AI60" s="15" t="s">
        <v>108</v>
      </c>
      <c r="AJ60" s="15" t="s">
        <v>100</v>
      </c>
      <c r="AK60" s="15" t="s">
        <v>101</v>
      </c>
      <c r="AL60" s="15" t="s">
        <v>102</v>
      </c>
    </row>
    <row r="61" spans="3:38" x14ac:dyDescent="0.4">
      <c r="C61" s="67" t="str">
        <f>C6</f>
        <v/>
      </c>
      <c r="D61" s="67" t="str">
        <f>E6</f>
        <v/>
      </c>
      <c r="E61" s="67" t="str">
        <f>G6</f>
        <v>Sampling zone 2</v>
      </c>
      <c r="F61" s="56" t="str">
        <f>IFERROR(AVERAGE(I6:J6,I10:J10,I14:J14,I18:J18),"")</f>
        <v/>
      </c>
      <c r="G61" s="56" t="str" cm="1">
        <f t="array" ref="G61" xml:space="preserve"> IFERROR(INDEX(Table9[EQS category ref], MATCH(1, (Table56[[#This Row],[Biotic indicator]]=Table9[Biotic index ref])*(Table56[[#This Row],[Avg. indicator value]]&gt;=Table9[Equal or larger than (x≥)])*(Table56[[#This Row],[Avg. indicator value]]&lt;Table9[smaller than (x&lt;)]),0)),"")</f>
        <v/>
      </c>
      <c r="H61" s="56" t="str" cm="1">
        <f t="array" ref="H61">IFERROR(_xlfn.IFS(Table56[[#This Row],[EQS category]]="Bad",5, Table56[[#This Row],[EQS category]]="Poor",4, Table56[[#This Row],[EQS category]]="Moderate",3, Table56[[#This Row],[EQS category]]="Good",2, Table56[[#This Row],[EQS category]]="High",1),"")</f>
        <v/>
      </c>
      <c r="AB61" s="15" t="s">
        <v>153</v>
      </c>
      <c r="AC61" s="21">
        <v>23.1</v>
      </c>
      <c r="AD61" s="21">
        <v>27.400001</v>
      </c>
      <c r="AE61" s="15" t="s">
        <v>105</v>
      </c>
      <c r="AH61" s="15" t="s">
        <v>100</v>
      </c>
      <c r="AI61" s="15" t="s">
        <v>108</v>
      </c>
      <c r="AJ61" s="15" t="s">
        <v>100</v>
      </c>
      <c r="AK61" s="15" t="s">
        <v>100</v>
      </c>
      <c r="AL61" s="15" t="s">
        <v>102</v>
      </c>
    </row>
    <row r="62" spans="3:38" x14ac:dyDescent="0.4">
      <c r="C62" s="67" t="str">
        <f>C22</f>
        <v/>
      </c>
      <c r="D62" s="67" t="str">
        <f>E22</f>
        <v/>
      </c>
      <c r="E62" s="67" t="str">
        <f>G22</f>
        <v>Sampling zone 2</v>
      </c>
      <c r="F62" s="56" t="str">
        <f>IFERROR(AVERAGE(I22:J22,I26:J26,I30:J30,I34:J34),"")</f>
        <v/>
      </c>
      <c r="G62" s="56" t="str" cm="1">
        <f t="array" ref="G62" xml:space="preserve"> IFERROR(INDEX(Table9[EQS category ref], MATCH(1, (Table56[[#This Row],[Biotic indicator]]=Table9[Biotic index ref])*(Table56[[#This Row],[Avg. indicator value]]&gt;=Table9[Equal or larger than (x≥)])*(Table56[[#This Row],[Avg. indicator value]]&lt;Table9[smaller than (x&lt;)]),0)),"")</f>
        <v/>
      </c>
      <c r="H62" s="56" t="str" cm="1">
        <f t="array" ref="H62">IFERROR(_xlfn.IFS(Table56[[#This Row],[EQS category]]="Bad",5, Table56[[#This Row],[EQS category]]="Poor",4, Table56[[#This Row],[EQS category]]="Moderate",3, Table56[[#This Row],[EQS category]]="Good",2, Table56[[#This Row],[EQS category]]="High",1),"")</f>
        <v/>
      </c>
      <c r="AB62" s="15" t="s">
        <v>153</v>
      </c>
      <c r="AC62" s="21">
        <v>18.8</v>
      </c>
      <c r="AD62" s="21">
        <v>23.1</v>
      </c>
      <c r="AE62" s="15" t="s">
        <v>108</v>
      </c>
      <c r="AH62" s="15" t="s">
        <v>100</v>
      </c>
      <c r="AI62" s="15" t="s">
        <v>108</v>
      </c>
      <c r="AJ62" s="15" t="s">
        <v>100</v>
      </c>
      <c r="AK62" s="15" t="s">
        <v>108</v>
      </c>
      <c r="AL62" s="15" t="s">
        <v>102</v>
      </c>
    </row>
    <row r="63" spans="3:38" x14ac:dyDescent="0.4">
      <c r="C63" s="67" t="str">
        <f>C38</f>
        <v/>
      </c>
      <c r="D63" s="67" t="str">
        <f>E38</f>
        <v/>
      </c>
      <c r="E63" s="67" t="str">
        <f>G38</f>
        <v>Sampling zone 2</v>
      </c>
      <c r="F63" s="56" t="str">
        <f>IFERROR(AVERAGE(I38:J38,I42:J42,I46:J46,I50:J50),"")</f>
        <v/>
      </c>
      <c r="G63" s="56" t="str" cm="1">
        <f t="array" ref="G63" xml:space="preserve"> IFERROR(INDEX(Table9[EQS category ref], MATCH(1, (Table56[[#This Row],[Biotic indicator]]=Table9[Biotic index ref])*(Table56[[#This Row],[Avg. indicator value]]&gt;=Table9[Equal or larger than (x≥)])*(Table56[[#This Row],[Avg. indicator value]]&lt;Table9[smaller than (x&lt;)]),0)),"")</f>
        <v/>
      </c>
      <c r="H63" s="56" t="str" cm="1">
        <f t="array" ref="H63">IFERROR(_xlfn.IFS(Table56[[#This Row],[EQS category]]="Bad",5, Table56[[#This Row],[EQS category]]="Poor",4, Table56[[#This Row],[EQS category]]="Moderate",3, Table56[[#This Row],[EQS category]]="Good",2, Table56[[#This Row],[EQS category]]="High",1),"")</f>
        <v/>
      </c>
      <c r="AB63" s="15" t="s">
        <v>153</v>
      </c>
      <c r="AC63" s="21">
        <v>10.4</v>
      </c>
      <c r="AD63" s="21">
        <v>18.8</v>
      </c>
      <c r="AE63" s="15" t="s">
        <v>100</v>
      </c>
      <c r="AH63" s="15" t="s">
        <v>100</v>
      </c>
      <c r="AI63" s="15" t="s">
        <v>108</v>
      </c>
      <c r="AJ63" s="15" t="s">
        <v>100</v>
      </c>
      <c r="AK63" s="15" t="s">
        <v>105</v>
      </c>
      <c r="AL63" s="15" t="s">
        <v>102</v>
      </c>
    </row>
    <row r="64" spans="3:38" x14ac:dyDescent="0.4">
      <c r="C64" s="67" t="str">
        <f>C7</f>
        <v/>
      </c>
      <c r="D64" s="67" t="str">
        <f>E7</f>
        <v/>
      </c>
      <c r="E64" s="67" t="str">
        <f>G7</f>
        <v>Sampling zone 3</v>
      </c>
      <c r="F64" s="56" t="str">
        <f>IFERROR(AVERAGE(I7:J7,I11:J11,I15:J15,I19:J19),"")</f>
        <v/>
      </c>
      <c r="G64" s="56" t="str" cm="1">
        <f t="array" ref="G64" xml:space="preserve"> IFERROR(INDEX(Table9[EQS category ref], MATCH(1, (Table56[[#This Row],[Biotic indicator]]=Table9[Biotic index ref])*(Table56[[#This Row],[Avg. indicator value]]&gt;=Table9[Equal or larger than (x≥)])*(Table56[[#This Row],[Avg. indicator value]]&lt;Table9[smaller than (x&lt;)]),0)),"")</f>
        <v/>
      </c>
      <c r="H64" s="56" t="str" cm="1">
        <f t="array" ref="H64">IFERROR(_xlfn.IFS(Table56[[#This Row],[EQS category]]="Bad",5, Table56[[#This Row],[EQS category]]="Poor",4, Table56[[#This Row],[EQS category]]="Moderate",3, Table56[[#This Row],[EQS category]]="Good",2, Table56[[#This Row],[EQS category]]="High",1),"")</f>
        <v/>
      </c>
      <c r="AB64" s="15" t="s">
        <v>153</v>
      </c>
      <c r="AC64" s="21">
        <v>0</v>
      </c>
      <c r="AD64" s="21">
        <v>10.4</v>
      </c>
      <c r="AE64" s="15" t="s">
        <v>101</v>
      </c>
      <c r="AF64" s="15" t="s">
        <v>111</v>
      </c>
      <c r="AH64" s="15" t="s">
        <v>100</v>
      </c>
      <c r="AI64" s="15" t="s">
        <v>108</v>
      </c>
      <c r="AJ64" s="15" t="s">
        <v>100</v>
      </c>
      <c r="AK64" s="15" t="s">
        <v>98</v>
      </c>
      <c r="AL64" s="15" t="s">
        <v>102</v>
      </c>
    </row>
    <row r="65" spans="3:38" x14ac:dyDescent="0.4">
      <c r="C65" s="67" t="str">
        <f>C23</f>
        <v/>
      </c>
      <c r="D65" s="67" t="str">
        <f>E23</f>
        <v/>
      </c>
      <c r="E65" s="67" t="str">
        <f>G23</f>
        <v>Sampling zone 3</v>
      </c>
      <c r="F65" s="56" t="str">
        <f>IFERROR(AVERAGE(I23:J23,I27:J27,I31:J31,I35:J35),"")</f>
        <v/>
      </c>
      <c r="G65" s="56" t="str" cm="1">
        <f t="array" ref="G65" xml:space="preserve"> IFERROR(INDEX(Table9[EQS category ref], MATCH(1, (Table56[[#This Row],[Biotic indicator]]=Table9[Biotic index ref])*(Table56[[#This Row],[Avg. indicator value]]&gt;=Table9[Equal or larger than (x≥)])*(Table56[[#This Row],[Avg. indicator value]]&lt;Table9[smaller than (x&lt;)]),0)),"")</f>
        <v/>
      </c>
      <c r="H65" s="56" t="str" cm="1">
        <f t="array" ref="H65">IFERROR(_xlfn.IFS(Table56[[#This Row],[EQS category]]="Bad",5, Table56[[#This Row],[EQS category]]="Poor",4, Table56[[#This Row],[EQS category]]="Moderate",3, Table56[[#This Row],[EQS category]]="Good",2, Table56[[#This Row],[EQS category]]="High",1),"")</f>
        <v/>
      </c>
      <c r="AB65" s="15" t="s">
        <v>154</v>
      </c>
      <c r="AC65" s="21">
        <v>9.6000010000000007</v>
      </c>
      <c r="AD65" s="21">
        <v>10000000</v>
      </c>
      <c r="AE65" s="15" t="s">
        <v>98</v>
      </c>
      <c r="AF65" s="15" t="s">
        <v>141</v>
      </c>
      <c r="AH65" s="15" t="s">
        <v>100</v>
      </c>
      <c r="AI65" s="15" t="s">
        <v>108</v>
      </c>
      <c r="AJ65" s="15" t="s">
        <v>108</v>
      </c>
      <c r="AK65" s="15" t="s">
        <v>101</v>
      </c>
      <c r="AL65" s="15" t="s">
        <v>102</v>
      </c>
    </row>
    <row r="66" spans="3:38" x14ac:dyDescent="0.4">
      <c r="C66" s="67" t="str">
        <f>C39</f>
        <v/>
      </c>
      <c r="D66" s="67" t="str">
        <f>E39</f>
        <v/>
      </c>
      <c r="E66" s="67" t="str">
        <f>G39</f>
        <v>Sampling zone 3</v>
      </c>
      <c r="F66" s="56" t="str">
        <f>IFERROR(AVERAGE(I39:J39,I43:J43,I47:J47,I51:J51),"")</f>
        <v/>
      </c>
      <c r="G66" s="56" t="str" cm="1">
        <f t="array" ref="G66" xml:space="preserve"> IFERROR(INDEX(Table9[EQS category ref], MATCH(1, (Table56[[#This Row],[Biotic indicator]]=Table9[Biotic index ref])*(Table56[[#This Row],[Avg. indicator value]]&gt;=Table9[Equal or larger than (x≥)])*(Table56[[#This Row],[Avg. indicator value]]&lt;Table9[smaller than (x&lt;)]),0)),"")</f>
        <v/>
      </c>
      <c r="H66" s="56" t="str" cm="1">
        <f t="array" ref="H66">IFERROR(_xlfn.IFS(Table56[[#This Row],[EQS category]]="Bad",5, Table56[[#This Row],[EQS category]]="Poor",4, Table56[[#This Row],[EQS category]]="Moderate",3, Table56[[#This Row],[EQS category]]="Good",2, Table56[[#This Row],[EQS category]]="High",1),"")</f>
        <v/>
      </c>
      <c r="AB66" s="15" t="s">
        <v>154</v>
      </c>
      <c r="AC66" s="21">
        <v>7.5</v>
      </c>
      <c r="AD66" s="21">
        <v>9.6000010000000007</v>
      </c>
      <c r="AE66" s="15" t="s">
        <v>105</v>
      </c>
      <c r="AH66" s="15" t="s">
        <v>100</v>
      </c>
      <c r="AI66" s="15" t="s">
        <v>108</v>
      </c>
      <c r="AJ66" s="15" t="s">
        <v>108</v>
      </c>
      <c r="AK66" s="15" t="s">
        <v>100</v>
      </c>
      <c r="AL66" s="15" t="s">
        <v>102</v>
      </c>
    </row>
    <row r="67" spans="3:38" x14ac:dyDescent="0.4">
      <c r="C67" s="67" t="str">
        <f>C8</f>
        <v/>
      </c>
      <c r="D67" s="67" t="str">
        <f>E8</f>
        <v/>
      </c>
      <c r="E67" s="67" t="str">
        <f>G8</f>
        <v>Reference zone</v>
      </c>
      <c r="F67" s="56" t="str">
        <f>IFERROR(AVERAGE(I8:J8,I12:J12,I16:J16,I20:J20),"")</f>
        <v/>
      </c>
      <c r="G67" s="56" t="str" cm="1">
        <f t="array" ref="G67" xml:space="preserve"> IFERROR(INDEX(Table9[EQS category ref], MATCH(1, (Table56[[#This Row],[Biotic indicator]]=Table9[Biotic index ref])*(Table56[[#This Row],[Avg. indicator value]]&gt;=Table9[Equal or larger than (x≥)])*(Table56[[#This Row],[Avg. indicator value]]&lt;Table9[smaller than (x&lt;)]),0)),"")</f>
        <v/>
      </c>
      <c r="H67" s="56" t="str" cm="1">
        <f t="array" ref="H67">IFERROR(_xlfn.IFS(Table56[[#This Row],[EQS category]]="Bad",5, Table56[[#This Row],[EQS category]]="Poor",4, Table56[[#This Row],[EQS category]]="Moderate",3, Table56[[#This Row],[EQS category]]="Good",2, Table56[[#This Row],[EQS category]]="High",1),"")</f>
        <v/>
      </c>
      <c r="AB67" s="15" t="s">
        <v>154</v>
      </c>
      <c r="AC67" s="21">
        <v>6.2</v>
      </c>
      <c r="AD67" s="21">
        <v>7.5</v>
      </c>
      <c r="AE67" s="15" t="s">
        <v>108</v>
      </c>
      <c r="AH67" s="15" t="s">
        <v>100</v>
      </c>
      <c r="AI67" s="15" t="s">
        <v>108</v>
      </c>
      <c r="AJ67" s="15" t="s">
        <v>108</v>
      </c>
      <c r="AK67" s="15" t="s">
        <v>108</v>
      </c>
      <c r="AL67" s="15" t="s">
        <v>102</v>
      </c>
    </row>
    <row r="68" spans="3:38" x14ac:dyDescent="0.4">
      <c r="C68" s="67" t="str">
        <f>C24</f>
        <v/>
      </c>
      <c r="D68" s="67" t="str">
        <f>E24</f>
        <v/>
      </c>
      <c r="E68" s="67" t="str">
        <f>G24</f>
        <v>Reference zone</v>
      </c>
      <c r="F68" s="56" t="str">
        <f>IFERROR(AVERAGE(I24:J24,I28:J28,I32:J32,I36:J36),"")</f>
        <v/>
      </c>
      <c r="G68" s="56" t="str" cm="1">
        <f t="array" ref="G68" xml:space="preserve"> IFERROR(INDEX(Table9[EQS category ref], MATCH(1, (Table56[[#This Row],[Biotic indicator]]=Table9[Biotic index ref])*(Table56[[#This Row],[Avg. indicator value]]&gt;=Table9[Equal or larger than (x≥)])*(Table56[[#This Row],[Avg. indicator value]]&lt;Table9[smaller than (x&lt;)]),0)),"")</f>
        <v/>
      </c>
      <c r="H68" s="56" t="str" cm="1">
        <f t="array" ref="H68">IFERROR(_xlfn.IFS(Table56[[#This Row],[EQS category]]="Bad",5, Table56[[#This Row],[EQS category]]="Poor",4, Table56[[#This Row],[EQS category]]="Moderate",3, Table56[[#This Row],[EQS category]]="Good",2, Table56[[#This Row],[EQS category]]="High",1),"")</f>
        <v/>
      </c>
      <c r="AB68" s="15" t="s">
        <v>154</v>
      </c>
      <c r="AC68" s="21">
        <v>4.5</v>
      </c>
      <c r="AD68" s="21">
        <v>6.2</v>
      </c>
      <c r="AE68" s="15" t="s">
        <v>100</v>
      </c>
      <c r="AH68" s="15" t="s">
        <v>100</v>
      </c>
      <c r="AI68" s="15" t="s">
        <v>108</v>
      </c>
      <c r="AJ68" s="15" t="s">
        <v>108</v>
      </c>
      <c r="AK68" s="15" t="s">
        <v>105</v>
      </c>
      <c r="AL68" s="15" t="s">
        <v>102</v>
      </c>
    </row>
    <row r="69" spans="3:38" x14ac:dyDescent="0.4">
      <c r="C69" s="67" t="str">
        <f>C40</f>
        <v/>
      </c>
      <c r="D69" s="67" t="str">
        <f>E40</f>
        <v/>
      </c>
      <c r="E69" s="67" t="str">
        <f>G40</f>
        <v>Reference zone</v>
      </c>
      <c r="F69" s="56" t="str">
        <f>IFERROR(AVERAGE(I40:J40,I44:J44,I48:J48,I52:J52),"")</f>
        <v/>
      </c>
      <c r="G69" s="56" t="str" cm="1">
        <f t="array" ref="G69" xml:space="preserve"> IFERROR(INDEX(Table9[EQS category ref], MATCH(1, (Table56[[#This Row],[Biotic indicator]]=Table9[Biotic index ref])*(Table56[[#This Row],[Avg. indicator value]]&gt;=Table9[Equal or larger than (x≥)])*(Table56[[#This Row],[Avg. indicator value]]&lt;Table9[smaller than (x&lt;)]),0)),"")</f>
        <v/>
      </c>
      <c r="H69" s="56" t="str" cm="1">
        <f t="array" ref="H69">IFERROR(_xlfn.IFS(Table56[[#This Row],[EQS category]]="Bad",5, Table56[[#This Row],[EQS category]]="Poor",4, Table56[[#This Row],[EQS category]]="Moderate",3, Table56[[#This Row],[EQS category]]="Good",2, Table56[[#This Row],[EQS category]]="High",1),"")</f>
        <v/>
      </c>
      <c r="AB69" s="15" t="s">
        <v>154</v>
      </c>
      <c r="AC69" s="21">
        <v>0</v>
      </c>
      <c r="AD69" s="21">
        <v>4.5</v>
      </c>
      <c r="AE69" s="15" t="s">
        <v>101</v>
      </c>
      <c r="AF69" s="15" t="s">
        <v>111</v>
      </c>
      <c r="AH69" s="15" t="s">
        <v>100</v>
      </c>
      <c r="AI69" s="15" t="s">
        <v>108</v>
      </c>
      <c r="AJ69" s="15" t="s">
        <v>108</v>
      </c>
      <c r="AK69" s="15" t="s">
        <v>98</v>
      </c>
      <c r="AL69" s="15" t="s">
        <v>102</v>
      </c>
    </row>
    <row r="70" spans="3:38" x14ac:dyDescent="0.4">
      <c r="AB70" s="15" t="s">
        <v>155</v>
      </c>
      <c r="AC70" s="21">
        <v>0</v>
      </c>
      <c r="AD70" s="21">
        <v>2</v>
      </c>
      <c r="AE70" s="15" t="s">
        <v>98</v>
      </c>
      <c r="AF70" s="15" t="s">
        <v>156</v>
      </c>
      <c r="AH70" s="15" t="s">
        <v>100</v>
      </c>
      <c r="AI70" s="15" t="s">
        <v>108</v>
      </c>
      <c r="AJ70" s="15" t="s">
        <v>105</v>
      </c>
      <c r="AK70" s="15" t="s">
        <v>101</v>
      </c>
      <c r="AL70" s="15" t="s">
        <v>102</v>
      </c>
    </row>
    <row r="71" spans="3:38" x14ac:dyDescent="0.4">
      <c r="D71" s="18" t="s">
        <v>157</v>
      </c>
      <c r="AB71" s="15" t="s">
        <v>155</v>
      </c>
      <c r="AC71" s="21">
        <v>2</v>
      </c>
      <c r="AD71" s="21">
        <v>3</v>
      </c>
      <c r="AE71" s="15" t="s">
        <v>105</v>
      </c>
      <c r="AH71" s="15" t="s">
        <v>100</v>
      </c>
      <c r="AI71" s="15" t="s">
        <v>108</v>
      </c>
      <c r="AJ71" s="15" t="s">
        <v>105</v>
      </c>
      <c r="AK71" s="15" t="s">
        <v>100</v>
      </c>
      <c r="AL71" s="15" t="s">
        <v>102</v>
      </c>
    </row>
    <row r="72" spans="3:38" hidden="1" x14ac:dyDescent="0.4">
      <c r="C72" s="15">
        <v>5.17</v>
      </c>
      <c r="D72" s="15">
        <v>5.18</v>
      </c>
      <c r="E72" s="15">
        <v>5.19</v>
      </c>
      <c r="F72" s="15">
        <v>5.21</v>
      </c>
      <c r="AB72" s="15" t="s">
        <v>155</v>
      </c>
      <c r="AC72" s="21">
        <v>3</v>
      </c>
      <c r="AD72" s="21">
        <v>4</v>
      </c>
      <c r="AE72" s="15" t="s">
        <v>108</v>
      </c>
      <c r="AH72" s="15" t="s">
        <v>100</v>
      </c>
      <c r="AI72" s="15" t="s">
        <v>108</v>
      </c>
      <c r="AJ72" s="15" t="s">
        <v>105</v>
      </c>
      <c r="AK72" s="15" t="s">
        <v>108</v>
      </c>
      <c r="AL72" s="15" t="s">
        <v>102</v>
      </c>
    </row>
    <row r="73" spans="3:38" ht="34.200000000000003" thickBot="1" x14ac:dyDescent="0.45">
      <c r="C73" s="102" t="s">
        <v>128</v>
      </c>
      <c r="D73" s="102" t="s">
        <v>80</v>
      </c>
      <c r="E73" s="102" t="s">
        <v>129</v>
      </c>
      <c r="F73" s="129" t="s">
        <v>130</v>
      </c>
      <c r="AB73" s="15" t="s">
        <v>155</v>
      </c>
      <c r="AC73" s="21">
        <v>4</v>
      </c>
      <c r="AD73" s="21">
        <v>6</v>
      </c>
      <c r="AE73" s="15" t="s">
        <v>100</v>
      </c>
      <c r="AH73" s="15" t="s">
        <v>100</v>
      </c>
      <c r="AI73" s="15" t="s">
        <v>108</v>
      </c>
      <c r="AJ73" s="15" t="s">
        <v>105</v>
      </c>
      <c r="AK73" s="15" t="s">
        <v>105</v>
      </c>
      <c r="AL73" s="15" t="s">
        <v>102</v>
      </c>
    </row>
    <row r="74" spans="3:38" ht="17.399999999999999" thickTop="1" x14ac:dyDescent="0.4">
      <c r="C74" s="94" t="str">
        <f t="shared" ref="C74:C77" si="14">C58</f>
        <v/>
      </c>
      <c r="D74" s="56" t="str">
        <f>E58</f>
        <v>Sampling zone 1</v>
      </c>
      <c r="E74" s="76" t="str">
        <f>IFERROR((H58+H59+H60)/3, "")</f>
        <v/>
      </c>
      <c r="F74" s="104" t="str" cm="1">
        <f t="array" ref="F74" xml:space="preserve"> IFERROR(INDEX(Table204[EQS category ref], MATCH(1,(Table57[[#This Row],[Zone EQS score]]&gt;Table204[Larger than])*(Table57[[#This Row],[Zone EQS score]]&lt;=Table204[Equal or smaller than]),0)),"")</f>
        <v/>
      </c>
      <c r="AB74" s="15" t="s">
        <v>155</v>
      </c>
      <c r="AC74" s="21">
        <v>6</v>
      </c>
      <c r="AD74" s="21">
        <v>1000</v>
      </c>
      <c r="AE74" s="15" t="s">
        <v>101</v>
      </c>
      <c r="AF74" s="15" t="s">
        <v>141</v>
      </c>
      <c r="AH74" s="15" t="s">
        <v>100</v>
      </c>
      <c r="AI74" s="15" t="s">
        <v>108</v>
      </c>
      <c r="AJ74" s="15" t="s">
        <v>105</v>
      </c>
      <c r="AK74" s="15" t="s">
        <v>98</v>
      </c>
      <c r="AL74" s="15" t="s">
        <v>102</v>
      </c>
    </row>
    <row r="75" spans="3:38" x14ac:dyDescent="0.4">
      <c r="C75" s="94" t="str">
        <f t="shared" si="14"/>
        <v/>
      </c>
      <c r="D75" s="56" t="str">
        <f>E61</f>
        <v>Sampling zone 2</v>
      </c>
      <c r="E75" s="76" t="str">
        <f>IFERROR((H61+H62+H63)/3, "")</f>
        <v/>
      </c>
      <c r="F75" s="104" t="str" cm="1">
        <f t="array" ref="F75" xml:space="preserve"> IFERROR(INDEX(Table204[EQS category ref], MATCH(1,(Table57[[#This Row],[Zone EQS score]]&gt;Table204[Larger than])*(Table57[[#This Row],[Zone EQS score]]&lt;=Table204[Equal or smaller than]),0)),"")</f>
        <v/>
      </c>
      <c r="AH75" s="15" t="s">
        <v>100</v>
      </c>
      <c r="AI75" s="15" t="s">
        <v>108</v>
      </c>
      <c r="AJ75" s="15" t="s">
        <v>98</v>
      </c>
      <c r="AK75" s="15" t="s">
        <v>101</v>
      </c>
      <c r="AL75" s="15" t="s">
        <v>102</v>
      </c>
    </row>
    <row r="76" spans="3:38" x14ac:dyDescent="0.4">
      <c r="C76" s="94" t="str">
        <f t="shared" si="14"/>
        <v/>
      </c>
      <c r="D76" s="56" t="str">
        <f>E64</f>
        <v>Sampling zone 3</v>
      </c>
      <c r="E76" s="76" t="str">
        <f>IFERROR((H64+H65+H66)/3, "")</f>
        <v/>
      </c>
      <c r="F76" s="104" t="str" cm="1">
        <f t="array" ref="F76" xml:space="preserve"> IFERROR(INDEX(Table204[EQS category ref], MATCH(1,(Table57[[#This Row],[Zone EQS score]]&gt;Table204[Larger than])*(Table57[[#This Row],[Zone EQS score]]&lt;=Table204[Equal or smaller than]),0)),"")</f>
        <v/>
      </c>
      <c r="AB76" s="18" t="s">
        <v>118</v>
      </c>
      <c r="AH76" s="15" t="s">
        <v>100</v>
      </c>
      <c r="AI76" s="15" t="s">
        <v>108</v>
      </c>
      <c r="AJ76" s="15" t="s">
        <v>98</v>
      </c>
      <c r="AK76" s="15" t="s">
        <v>100</v>
      </c>
      <c r="AL76" s="15" t="s">
        <v>102</v>
      </c>
    </row>
    <row r="77" spans="3:38" x14ac:dyDescent="0.4">
      <c r="C77" s="94" t="str">
        <f t="shared" si="14"/>
        <v/>
      </c>
      <c r="D77" s="56" t="str">
        <f>E67</f>
        <v>Reference zone</v>
      </c>
      <c r="E77" s="76" t="str">
        <f>IFERROR((H67+H68+H69)/3, "")</f>
        <v/>
      </c>
      <c r="F77" s="104" t="str" cm="1">
        <f t="array" ref="F77" xml:space="preserve"> IFERROR(INDEX(Table204[EQS category ref], MATCH(1,(Table57[[#This Row],[Zone EQS score]]&gt;Table204[Larger than])*(Table57[[#This Row],[Zone EQS score]]&lt;=Table204[Equal or smaller than]),0)),"")</f>
        <v/>
      </c>
      <c r="AH77" s="15" t="s">
        <v>100</v>
      </c>
      <c r="AI77" s="15" t="s">
        <v>108</v>
      </c>
      <c r="AJ77" s="15" t="s">
        <v>98</v>
      </c>
      <c r="AK77" s="15" t="s">
        <v>108</v>
      </c>
      <c r="AL77" s="15" t="s">
        <v>102</v>
      </c>
    </row>
    <row r="78" spans="3:38" x14ac:dyDescent="0.4">
      <c r="AB78" s="15" t="s">
        <v>87</v>
      </c>
      <c r="AC78" s="82" t="s">
        <v>119</v>
      </c>
      <c r="AD78" s="15" t="s">
        <v>120</v>
      </c>
      <c r="AE78" s="15" t="s">
        <v>121</v>
      </c>
      <c r="AF78" s="15" t="s">
        <v>56</v>
      </c>
      <c r="AH78" s="15" t="s">
        <v>100</v>
      </c>
      <c r="AI78" s="15" t="s">
        <v>108</v>
      </c>
      <c r="AJ78" s="15" t="s">
        <v>98</v>
      </c>
      <c r="AK78" s="15" t="s">
        <v>105</v>
      </c>
      <c r="AL78" s="15" t="s">
        <v>102</v>
      </c>
    </row>
    <row r="79" spans="3:38" x14ac:dyDescent="0.4">
      <c r="D79" s="18" t="s">
        <v>1922</v>
      </c>
      <c r="AB79" s="15" t="s">
        <v>101</v>
      </c>
      <c r="AC79" s="15">
        <v>4.0000099999999996</v>
      </c>
      <c r="AD79" s="15">
        <v>6</v>
      </c>
      <c r="AE79" s="42">
        <v>5</v>
      </c>
      <c r="AF79" s="15" t="s">
        <v>99</v>
      </c>
      <c r="AH79" s="15" t="s">
        <v>100</v>
      </c>
      <c r="AI79" s="15" t="s">
        <v>108</v>
      </c>
      <c r="AJ79" s="15" t="s">
        <v>98</v>
      </c>
      <c r="AK79" s="15" t="s">
        <v>98</v>
      </c>
      <c r="AL79" s="15" t="s">
        <v>102</v>
      </c>
    </row>
    <row r="80" spans="3:38" hidden="1" x14ac:dyDescent="0.4">
      <c r="C80" s="15">
        <v>5.22</v>
      </c>
      <c r="D80" s="15">
        <v>5.23</v>
      </c>
      <c r="AB80" s="15" t="s">
        <v>100</v>
      </c>
      <c r="AC80" s="15">
        <v>3.1</v>
      </c>
      <c r="AD80" s="15">
        <v>4.0000099999999996</v>
      </c>
      <c r="AE80" s="42">
        <v>4</v>
      </c>
      <c r="AH80" s="15" t="s">
        <v>100</v>
      </c>
      <c r="AI80" s="15" t="s">
        <v>105</v>
      </c>
      <c r="AJ80" s="15" t="s">
        <v>101</v>
      </c>
      <c r="AK80" s="15" t="s">
        <v>101</v>
      </c>
      <c r="AL80" s="15" t="s">
        <v>102</v>
      </c>
    </row>
    <row r="81" spans="3:38" ht="33.6" x14ac:dyDescent="0.4">
      <c r="C81" s="102" t="s">
        <v>44</v>
      </c>
      <c r="D81" s="59" t="s">
        <v>158</v>
      </c>
      <c r="AB81" s="15" t="s">
        <v>108</v>
      </c>
      <c r="AC81" s="15">
        <v>2.1</v>
      </c>
      <c r="AD81" s="15">
        <v>3.09999</v>
      </c>
      <c r="AE81" s="42">
        <v>3</v>
      </c>
      <c r="AH81" s="15" t="s">
        <v>100</v>
      </c>
      <c r="AI81" s="15" t="s">
        <v>105</v>
      </c>
      <c r="AJ81" s="15" t="s">
        <v>101</v>
      </c>
      <c r="AK81" s="15" t="s">
        <v>100</v>
      </c>
      <c r="AL81" s="15" t="s">
        <v>102</v>
      </c>
    </row>
    <row r="82" spans="3:38" x14ac:dyDescent="0.4">
      <c r="C82" s="94" t="str">
        <f>C74</f>
        <v/>
      </c>
      <c r="D82" s="56" t="str" cm="1">
        <f t="array" ref="D82">IFERROR(INDEX(Table40[Benthic status], MATCH(1, (F77=Table40[[Reference zone ]])*(F76=Table40[Farm monitoring zone 1])*(F75=Table40[Farm monitoring zone 2])*(F74=Table40[Farm monitoring zone 3]), 0)),"")</f>
        <v/>
      </c>
      <c r="AB82" s="15" t="s">
        <v>105</v>
      </c>
      <c r="AC82" s="15">
        <v>1.1000000000000001</v>
      </c>
      <c r="AD82" s="15">
        <v>2.09999</v>
      </c>
      <c r="AE82" s="42">
        <v>2</v>
      </c>
      <c r="AH82" s="15" t="s">
        <v>100</v>
      </c>
      <c r="AI82" s="15" t="s">
        <v>105</v>
      </c>
      <c r="AJ82" s="15" t="s">
        <v>101</v>
      </c>
      <c r="AK82" s="15" t="s">
        <v>108</v>
      </c>
      <c r="AL82" s="15" t="s">
        <v>102</v>
      </c>
    </row>
    <row r="83" spans="3:38" x14ac:dyDescent="0.4">
      <c r="AB83" s="15" t="s">
        <v>98</v>
      </c>
      <c r="AC83" s="15">
        <v>0</v>
      </c>
      <c r="AD83" s="15">
        <v>1.09999</v>
      </c>
      <c r="AE83" s="42">
        <v>1</v>
      </c>
      <c r="AF83" s="15" t="s">
        <v>123</v>
      </c>
      <c r="AH83" s="15" t="s">
        <v>100</v>
      </c>
      <c r="AI83" s="15" t="s">
        <v>105</v>
      </c>
      <c r="AJ83" s="15" t="s">
        <v>101</v>
      </c>
      <c r="AK83" s="15" t="s">
        <v>105</v>
      </c>
      <c r="AL83" s="15" t="s">
        <v>102</v>
      </c>
    </row>
    <row r="84" spans="3:38" x14ac:dyDescent="0.4">
      <c r="AH84" s="15" t="s">
        <v>100</v>
      </c>
      <c r="AI84" s="15" t="s">
        <v>105</v>
      </c>
      <c r="AJ84" s="15" t="s">
        <v>101</v>
      </c>
      <c r="AK84" s="15" t="s">
        <v>98</v>
      </c>
      <c r="AL84" s="15" t="s">
        <v>102</v>
      </c>
    </row>
    <row r="85" spans="3:38" x14ac:dyDescent="0.4">
      <c r="AH85" s="15" t="s">
        <v>100</v>
      </c>
      <c r="AI85" s="15" t="s">
        <v>105</v>
      </c>
      <c r="AJ85" s="15" t="s">
        <v>100</v>
      </c>
      <c r="AK85" s="15" t="s">
        <v>101</v>
      </c>
      <c r="AL85" s="15" t="s">
        <v>102</v>
      </c>
    </row>
    <row r="86" spans="3:38" x14ac:dyDescent="0.4">
      <c r="AH86" s="15" t="s">
        <v>100</v>
      </c>
      <c r="AI86" s="15" t="s">
        <v>105</v>
      </c>
      <c r="AJ86" s="15" t="s">
        <v>100</v>
      </c>
      <c r="AK86" s="15" t="s">
        <v>100</v>
      </c>
      <c r="AL86" s="15" t="s">
        <v>102</v>
      </c>
    </row>
    <row r="87" spans="3:38" x14ac:dyDescent="0.4">
      <c r="AH87" s="15" t="s">
        <v>100</v>
      </c>
      <c r="AI87" s="15" t="s">
        <v>105</v>
      </c>
      <c r="AJ87" s="15" t="s">
        <v>100</v>
      </c>
      <c r="AK87" s="15" t="s">
        <v>108</v>
      </c>
      <c r="AL87" s="15" t="s">
        <v>102</v>
      </c>
    </row>
    <row r="88" spans="3:38" x14ac:dyDescent="0.4">
      <c r="AH88" s="15" t="s">
        <v>100</v>
      </c>
      <c r="AI88" s="15" t="s">
        <v>105</v>
      </c>
      <c r="AJ88" s="15" t="s">
        <v>100</v>
      </c>
      <c r="AK88" s="15" t="s">
        <v>105</v>
      </c>
      <c r="AL88" s="15" t="s">
        <v>102</v>
      </c>
    </row>
    <row r="89" spans="3:38" x14ac:dyDescent="0.4">
      <c r="AH89" s="15" t="s">
        <v>100</v>
      </c>
      <c r="AI89" s="15" t="s">
        <v>105</v>
      </c>
      <c r="AJ89" s="15" t="s">
        <v>100</v>
      </c>
      <c r="AK89" s="15" t="s">
        <v>98</v>
      </c>
      <c r="AL89" s="15" t="s">
        <v>102</v>
      </c>
    </row>
    <row r="90" spans="3:38" x14ac:dyDescent="0.4">
      <c r="AH90" s="15" t="s">
        <v>100</v>
      </c>
      <c r="AI90" s="15" t="s">
        <v>105</v>
      </c>
      <c r="AJ90" s="15" t="s">
        <v>108</v>
      </c>
      <c r="AK90" s="15" t="s">
        <v>101</v>
      </c>
      <c r="AL90" s="15" t="s">
        <v>102</v>
      </c>
    </row>
    <row r="91" spans="3:38" x14ac:dyDescent="0.4">
      <c r="AH91" s="15" t="s">
        <v>100</v>
      </c>
      <c r="AI91" s="15" t="s">
        <v>105</v>
      </c>
      <c r="AJ91" s="15" t="s">
        <v>108</v>
      </c>
      <c r="AK91" s="15" t="s">
        <v>100</v>
      </c>
      <c r="AL91" s="15" t="s">
        <v>102</v>
      </c>
    </row>
    <row r="92" spans="3:38" x14ac:dyDescent="0.4">
      <c r="AH92" s="15" t="s">
        <v>100</v>
      </c>
      <c r="AI92" s="15" t="s">
        <v>105</v>
      </c>
      <c r="AJ92" s="15" t="s">
        <v>108</v>
      </c>
      <c r="AK92" s="15" t="s">
        <v>108</v>
      </c>
      <c r="AL92" s="15" t="s">
        <v>102</v>
      </c>
    </row>
    <row r="93" spans="3:38" x14ac:dyDescent="0.4">
      <c r="AH93" s="15" t="s">
        <v>100</v>
      </c>
      <c r="AI93" s="15" t="s">
        <v>105</v>
      </c>
      <c r="AJ93" s="15" t="s">
        <v>108</v>
      </c>
      <c r="AK93" s="15" t="s">
        <v>105</v>
      </c>
      <c r="AL93" s="15" t="s">
        <v>102</v>
      </c>
    </row>
    <row r="94" spans="3:38" x14ac:dyDescent="0.4">
      <c r="AH94" s="15" t="s">
        <v>100</v>
      </c>
      <c r="AI94" s="15" t="s">
        <v>105</v>
      </c>
      <c r="AJ94" s="15" t="s">
        <v>108</v>
      </c>
      <c r="AK94" s="15" t="s">
        <v>98</v>
      </c>
      <c r="AL94" s="15" t="s">
        <v>102</v>
      </c>
    </row>
    <row r="95" spans="3:38" x14ac:dyDescent="0.4">
      <c r="AH95" s="15" t="s">
        <v>100</v>
      </c>
      <c r="AI95" s="15" t="s">
        <v>105</v>
      </c>
      <c r="AJ95" s="15" t="s">
        <v>105</v>
      </c>
      <c r="AK95" s="15" t="s">
        <v>101</v>
      </c>
      <c r="AL95" s="15" t="s">
        <v>102</v>
      </c>
    </row>
    <row r="96" spans="3:38" x14ac:dyDescent="0.4">
      <c r="AH96" s="15" t="s">
        <v>100</v>
      </c>
      <c r="AI96" s="15" t="s">
        <v>105</v>
      </c>
      <c r="AJ96" s="15" t="s">
        <v>105</v>
      </c>
      <c r="AK96" s="15" t="s">
        <v>100</v>
      </c>
      <c r="AL96" s="15" t="s">
        <v>102</v>
      </c>
    </row>
    <row r="97" spans="34:38" x14ac:dyDescent="0.4">
      <c r="AH97" s="15" t="s">
        <v>100</v>
      </c>
      <c r="AI97" s="15" t="s">
        <v>105</v>
      </c>
      <c r="AJ97" s="15" t="s">
        <v>105</v>
      </c>
      <c r="AK97" s="15" t="s">
        <v>108</v>
      </c>
      <c r="AL97" s="15" t="s">
        <v>102</v>
      </c>
    </row>
    <row r="98" spans="34:38" x14ac:dyDescent="0.4">
      <c r="AH98" s="15" t="s">
        <v>100</v>
      </c>
      <c r="AI98" s="15" t="s">
        <v>105</v>
      </c>
      <c r="AJ98" s="15" t="s">
        <v>105</v>
      </c>
      <c r="AK98" s="15" t="s">
        <v>105</v>
      </c>
      <c r="AL98" s="15" t="s">
        <v>102</v>
      </c>
    </row>
    <row r="99" spans="34:38" x14ac:dyDescent="0.4">
      <c r="AH99" s="15" t="s">
        <v>100</v>
      </c>
      <c r="AI99" s="15" t="s">
        <v>105</v>
      </c>
      <c r="AJ99" s="15" t="s">
        <v>105</v>
      </c>
      <c r="AK99" s="15" t="s">
        <v>98</v>
      </c>
      <c r="AL99" s="15" t="s">
        <v>102</v>
      </c>
    </row>
    <row r="100" spans="34:38" x14ac:dyDescent="0.4">
      <c r="AH100" s="15" t="s">
        <v>100</v>
      </c>
      <c r="AI100" s="15" t="s">
        <v>105</v>
      </c>
      <c r="AJ100" s="15" t="s">
        <v>98</v>
      </c>
      <c r="AK100" s="15" t="s">
        <v>101</v>
      </c>
      <c r="AL100" s="15" t="s">
        <v>102</v>
      </c>
    </row>
    <row r="101" spans="34:38" x14ac:dyDescent="0.4">
      <c r="AH101" s="15" t="s">
        <v>100</v>
      </c>
      <c r="AI101" s="15" t="s">
        <v>105</v>
      </c>
      <c r="AJ101" s="15" t="s">
        <v>98</v>
      </c>
      <c r="AK101" s="15" t="s">
        <v>100</v>
      </c>
      <c r="AL101" s="15" t="s">
        <v>102</v>
      </c>
    </row>
    <row r="102" spans="34:38" x14ac:dyDescent="0.4">
      <c r="AH102" s="15" t="s">
        <v>100</v>
      </c>
      <c r="AI102" s="15" t="s">
        <v>105</v>
      </c>
      <c r="AJ102" s="15" t="s">
        <v>98</v>
      </c>
      <c r="AK102" s="15" t="s">
        <v>108</v>
      </c>
      <c r="AL102" s="15" t="s">
        <v>102</v>
      </c>
    </row>
    <row r="103" spans="34:38" x14ac:dyDescent="0.4">
      <c r="AH103" s="15" t="s">
        <v>100</v>
      </c>
      <c r="AI103" s="15" t="s">
        <v>105</v>
      </c>
      <c r="AJ103" s="15" t="s">
        <v>98</v>
      </c>
      <c r="AK103" s="15" t="s">
        <v>105</v>
      </c>
      <c r="AL103" s="15" t="s">
        <v>102</v>
      </c>
    </row>
    <row r="104" spans="34:38" x14ac:dyDescent="0.4">
      <c r="AH104" s="15" t="s">
        <v>100</v>
      </c>
      <c r="AI104" s="15" t="s">
        <v>105</v>
      </c>
      <c r="AJ104" s="15" t="s">
        <v>98</v>
      </c>
      <c r="AK104" s="15" t="s">
        <v>98</v>
      </c>
      <c r="AL104" s="15" t="s">
        <v>102</v>
      </c>
    </row>
    <row r="105" spans="34:38" x14ac:dyDescent="0.4">
      <c r="AH105" s="15" t="s">
        <v>100</v>
      </c>
      <c r="AI105" s="15" t="s">
        <v>98</v>
      </c>
      <c r="AJ105" s="15" t="s">
        <v>101</v>
      </c>
      <c r="AK105" s="15" t="s">
        <v>101</v>
      </c>
      <c r="AL105" s="15" t="s">
        <v>102</v>
      </c>
    </row>
    <row r="106" spans="34:38" x14ac:dyDescent="0.4">
      <c r="AH106" s="15" t="s">
        <v>100</v>
      </c>
      <c r="AI106" s="15" t="s">
        <v>98</v>
      </c>
      <c r="AJ106" s="15" t="s">
        <v>101</v>
      </c>
      <c r="AK106" s="15" t="s">
        <v>100</v>
      </c>
      <c r="AL106" s="15" t="s">
        <v>102</v>
      </c>
    </row>
    <row r="107" spans="34:38" x14ac:dyDescent="0.4">
      <c r="AH107" s="15" t="s">
        <v>100</v>
      </c>
      <c r="AI107" s="15" t="s">
        <v>98</v>
      </c>
      <c r="AJ107" s="15" t="s">
        <v>101</v>
      </c>
      <c r="AK107" s="15" t="s">
        <v>108</v>
      </c>
      <c r="AL107" s="15" t="s">
        <v>102</v>
      </c>
    </row>
    <row r="108" spans="34:38" x14ac:dyDescent="0.4">
      <c r="AH108" s="15" t="s">
        <v>100</v>
      </c>
      <c r="AI108" s="15" t="s">
        <v>98</v>
      </c>
      <c r="AJ108" s="15" t="s">
        <v>101</v>
      </c>
      <c r="AK108" s="15" t="s">
        <v>105</v>
      </c>
      <c r="AL108" s="15" t="s">
        <v>102</v>
      </c>
    </row>
    <row r="109" spans="34:38" x14ac:dyDescent="0.4">
      <c r="AH109" s="15" t="s">
        <v>100</v>
      </c>
      <c r="AI109" s="15" t="s">
        <v>98</v>
      </c>
      <c r="AJ109" s="15" t="s">
        <v>101</v>
      </c>
      <c r="AK109" s="15" t="s">
        <v>98</v>
      </c>
      <c r="AL109" s="15" t="s">
        <v>102</v>
      </c>
    </row>
    <row r="110" spans="34:38" x14ac:dyDescent="0.4">
      <c r="AH110" s="15" t="s">
        <v>100</v>
      </c>
      <c r="AI110" s="15" t="s">
        <v>98</v>
      </c>
      <c r="AJ110" s="15" t="s">
        <v>100</v>
      </c>
      <c r="AK110" s="15" t="s">
        <v>101</v>
      </c>
      <c r="AL110" s="15" t="s">
        <v>102</v>
      </c>
    </row>
    <row r="111" spans="34:38" x14ac:dyDescent="0.4">
      <c r="AH111" s="15" t="s">
        <v>100</v>
      </c>
      <c r="AI111" s="15" t="s">
        <v>98</v>
      </c>
      <c r="AJ111" s="15" t="s">
        <v>100</v>
      </c>
      <c r="AK111" s="15" t="s">
        <v>100</v>
      </c>
      <c r="AL111" s="15" t="s">
        <v>102</v>
      </c>
    </row>
    <row r="112" spans="34:38" x14ac:dyDescent="0.4">
      <c r="AH112" s="15" t="s">
        <v>100</v>
      </c>
      <c r="AI112" s="15" t="s">
        <v>98</v>
      </c>
      <c r="AJ112" s="15" t="s">
        <v>100</v>
      </c>
      <c r="AK112" s="15" t="s">
        <v>108</v>
      </c>
      <c r="AL112" s="15" t="s">
        <v>102</v>
      </c>
    </row>
    <row r="113" spans="34:38" x14ac:dyDescent="0.4">
      <c r="AH113" s="15" t="s">
        <v>100</v>
      </c>
      <c r="AI113" s="15" t="s">
        <v>98</v>
      </c>
      <c r="AJ113" s="15" t="s">
        <v>100</v>
      </c>
      <c r="AK113" s="15" t="s">
        <v>105</v>
      </c>
      <c r="AL113" s="15" t="s">
        <v>102</v>
      </c>
    </row>
    <row r="114" spans="34:38" x14ac:dyDescent="0.4">
      <c r="AH114" s="15" t="s">
        <v>100</v>
      </c>
      <c r="AI114" s="15" t="s">
        <v>98</v>
      </c>
      <c r="AJ114" s="15" t="s">
        <v>100</v>
      </c>
      <c r="AK114" s="15" t="s">
        <v>98</v>
      </c>
      <c r="AL114" s="15" t="s">
        <v>102</v>
      </c>
    </row>
    <row r="115" spans="34:38" x14ac:dyDescent="0.4">
      <c r="AH115" s="15" t="s">
        <v>100</v>
      </c>
      <c r="AI115" s="15" t="s">
        <v>98</v>
      </c>
      <c r="AJ115" s="15" t="s">
        <v>108</v>
      </c>
      <c r="AK115" s="15" t="s">
        <v>101</v>
      </c>
      <c r="AL115" s="15" t="s">
        <v>102</v>
      </c>
    </row>
    <row r="116" spans="34:38" x14ac:dyDescent="0.4">
      <c r="AH116" s="15" t="s">
        <v>100</v>
      </c>
      <c r="AI116" s="15" t="s">
        <v>98</v>
      </c>
      <c r="AJ116" s="15" t="s">
        <v>108</v>
      </c>
      <c r="AK116" s="15" t="s">
        <v>100</v>
      </c>
      <c r="AL116" s="15" t="s">
        <v>102</v>
      </c>
    </row>
    <row r="117" spans="34:38" x14ac:dyDescent="0.4">
      <c r="AH117" s="15" t="s">
        <v>100</v>
      </c>
      <c r="AI117" s="15" t="s">
        <v>98</v>
      </c>
      <c r="AJ117" s="15" t="s">
        <v>108</v>
      </c>
      <c r="AK117" s="15" t="s">
        <v>108</v>
      </c>
      <c r="AL117" s="15" t="s">
        <v>102</v>
      </c>
    </row>
    <row r="118" spans="34:38" x14ac:dyDescent="0.4">
      <c r="AH118" s="15" t="s">
        <v>100</v>
      </c>
      <c r="AI118" s="15" t="s">
        <v>98</v>
      </c>
      <c r="AJ118" s="15" t="s">
        <v>108</v>
      </c>
      <c r="AK118" s="15" t="s">
        <v>105</v>
      </c>
      <c r="AL118" s="15" t="s">
        <v>102</v>
      </c>
    </row>
    <row r="119" spans="34:38" x14ac:dyDescent="0.4">
      <c r="AH119" s="15" t="s">
        <v>100</v>
      </c>
      <c r="AI119" s="15" t="s">
        <v>98</v>
      </c>
      <c r="AJ119" s="15" t="s">
        <v>108</v>
      </c>
      <c r="AK119" s="15" t="s">
        <v>98</v>
      </c>
      <c r="AL119" s="15" t="s">
        <v>102</v>
      </c>
    </row>
    <row r="120" spans="34:38" x14ac:dyDescent="0.4">
      <c r="AH120" s="15" t="s">
        <v>100</v>
      </c>
      <c r="AI120" s="15" t="s">
        <v>98</v>
      </c>
      <c r="AJ120" s="15" t="s">
        <v>105</v>
      </c>
      <c r="AK120" s="15" t="s">
        <v>101</v>
      </c>
      <c r="AL120" s="15" t="s">
        <v>102</v>
      </c>
    </row>
    <row r="121" spans="34:38" x14ac:dyDescent="0.4">
      <c r="AH121" s="15" t="s">
        <v>100</v>
      </c>
      <c r="AI121" s="15" t="s">
        <v>98</v>
      </c>
      <c r="AJ121" s="15" t="s">
        <v>105</v>
      </c>
      <c r="AK121" s="15" t="s">
        <v>100</v>
      </c>
      <c r="AL121" s="15" t="s">
        <v>102</v>
      </c>
    </row>
    <row r="122" spans="34:38" x14ac:dyDescent="0.4">
      <c r="AH122" s="15" t="s">
        <v>100</v>
      </c>
      <c r="AI122" s="15" t="s">
        <v>98</v>
      </c>
      <c r="AJ122" s="15" t="s">
        <v>105</v>
      </c>
      <c r="AK122" s="15" t="s">
        <v>108</v>
      </c>
      <c r="AL122" s="15" t="s">
        <v>102</v>
      </c>
    </row>
    <row r="123" spans="34:38" x14ac:dyDescent="0.4">
      <c r="AH123" s="15" t="s">
        <v>100</v>
      </c>
      <c r="AI123" s="15" t="s">
        <v>98</v>
      </c>
      <c r="AJ123" s="15" t="s">
        <v>105</v>
      </c>
      <c r="AK123" s="15" t="s">
        <v>105</v>
      </c>
      <c r="AL123" s="15" t="s">
        <v>102</v>
      </c>
    </row>
    <row r="124" spans="34:38" x14ac:dyDescent="0.4">
      <c r="AH124" s="15" t="s">
        <v>100</v>
      </c>
      <c r="AI124" s="15" t="s">
        <v>98</v>
      </c>
      <c r="AJ124" s="15" t="s">
        <v>105</v>
      </c>
      <c r="AK124" s="15" t="s">
        <v>98</v>
      </c>
      <c r="AL124" s="15" t="s">
        <v>102</v>
      </c>
    </row>
    <row r="125" spans="34:38" x14ac:dyDescent="0.4">
      <c r="AH125" s="15" t="s">
        <v>100</v>
      </c>
      <c r="AI125" s="15" t="s">
        <v>98</v>
      </c>
      <c r="AJ125" s="15" t="s">
        <v>98</v>
      </c>
      <c r="AK125" s="15" t="s">
        <v>101</v>
      </c>
      <c r="AL125" s="15" t="s">
        <v>102</v>
      </c>
    </row>
    <row r="126" spans="34:38" x14ac:dyDescent="0.4">
      <c r="AH126" s="15" t="s">
        <v>100</v>
      </c>
      <c r="AI126" s="15" t="s">
        <v>98</v>
      </c>
      <c r="AJ126" s="15" t="s">
        <v>98</v>
      </c>
      <c r="AK126" s="15" t="s">
        <v>100</v>
      </c>
      <c r="AL126" s="15" t="s">
        <v>102</v>
      </c>
    </row>
    <row r="127" spans="34:38" x14ac:dyDescent="0.4">
      <c r="AH127" s="15" t="s">
        <v>100</v>
      </c>
      <c r="AI127" s="15" t="s">
        <v>98</v>
      </c>
      <c r="AJ127" s="15" t="s">
        <v>98</v>
      </c>
      <c r="AK127" s="15" t="s">
        <v>108</v>
      </c>
      <c r="AL127" s="15" t="s">
        <v>102</v>
      </c>
    </row>
    <row r="128" spans="34:38" x14ac:dyDescent="0.4">
      <c r="AH128" s="15" t="s">
        <v>100</v>
      </c>
      <c r="AI128" s="15" t="s">
        <v>98</v>
      </c>
      <c r="AJ128" s="15" t="s">
        <v>98</v>
      </c>
      <c r="AK128" s="15" t="s">
        <v>105</v>
      </c>
      <c r="AL128" s="15" t="s">
        <v>102</v>
      </c>
    </row>
    <row r="129" spans="34:38" x14ac:dyDescent="0.4">
      <c r="AH129" s="15" t="s">
        <v>100</v>
      </c>
      <c r="AI129" s="15" t="s">
        <v>98</v>
      </c>
      <c r="AJ129" s="15" t="s">
        <v>98</v>
      </c>
      <c r="AK129" s="15" t="s">
        <v>98</v>
      </c>
      <c r="AL129" s="15" t="s">
        <v>102</v>
      </c>
    </row>
    <row r="130" spans="34:38" x14ac:dyDescent="0.4">
      <c r="AH130" s="70" t="s">
        <v>101</v>
      </c>
      <c r="AI130" s="70" t="s">
        <v>101</v>
      </c>
      <c r="AJ130" s="70" t="s">
        <v>101</v>
      </c>
      <c r="AK130" s="70" t="s">
        <v>101</v>
      </c>
      <c r="AL130" s="15" t="s">
        <v>102</v>
      </c>
    </row>
    <row r="131" spans="34:38" x14ac:dyDescent="0.4">
      <c r="AH131" s="70" t="s">
        <v>101</v>
      </c>
      <c r="AI131" s="70" t="s">
        <v>101</v>
      </c>
      <c r="AJ131" s="70" t="s">
        <v>101</v>
      </c>
      <c r="AK131" s="70" t="s">
        <v>100</v>
      </c>
      <c r="AL131" s="15" t="s">
        <v>102</v>
      </c>
    </row>
    <row r="132" spans="34:38" x14ac:dyDescent="0.4">
      <c r="AH132" s="70" t="s">
        <v>101</v>
      </c>
      <c r="AI132" s="70" t="s">
        <v>101</v>
      </c>
      <c r="AJ132" s="70" t="s">
        <v>101</v>
      </c>
      <c r="AK132" s="70" t="s">
        <v>108</v>
      </c>
      <c r="AL132" s="15" t="s">
        <v>102</v>
      </c>
    </row>
    <row r="133" spans="34:38" x14ac:dyDescent="0.4">
      <c r="AH133" s="70" t="s">
        <v>101</v>
      </c>
      <c r="AI133" s="70" t="s">
        <v>101</v>
      </c>
      <c r="AJ133" s="70" t="s">
        <v>101</v>
      </c>
      <c r="AK133" s="70" t="s">
        <v>105</v>
      </c>
      <c r="AL133" s="15" t="s">
        <v>102</v>
      </c>
    </row>
    <row r="134" spans="34:38" x14ac:dyDescent="0.4">
      <c r="AH134" s="70" t="s">
        <v>101</v>
      </c>
      <c r="AI134" s="70" t="s">
        <v>101</v>
      </c>
      <c r="AJ134" s="70" t="s">
        <v>101</v>
      </c>
      <c r="AK134" s="70" t="s">
        <v>98</v>
      </c>
      <c r="AL134" s="15" t="s">
        <v>102</v>
      </c>
    </row>
    <row r="135" spans="34:38" x14ac:dyDescent="0.4">
      <c r="AH135" s="70" t="s">
        <v>101</v>
      </c>
      <c r="AI135" s="70" t="s">
        <v>101</v>
      </c>
      <c r="AJ135" s="70" t="s">
        <v>100</v>
      </c>
      <c r="AK135" s="70" t="s">
        <v>101</v>
      </c>
      <c r="AL135" s="15" t="s">
        <v>102</v>
      </c>
    </row>
    <row r="136" spans="34:38" x14ac:dyDescent="0.4">
      <c r="AH136" s="70" t="s">
        <v>101</v>
      </c>
      <c r="AI136" s="70" t="s">
        <v>101</v>
      </c>
      <c r="AJ136" s="70" t="s">
        <v>100</v>
      </c>
      <c r="AK136" s="70" t="s">
        <v>100</v>
      </c>
      <c r="AL136" s="15" t="s">
        <v>102</v>
      </c>
    </row>
    <row r="137" spans="34:38" x14ac:dyDescent="0.4">
      <c r="AH137" s="70" t="s">
        <v>101</v>
      </c>
      <c r="AI137" s="70" t="s">
        <v>101</v>
      </c>
      <c r="AJ137" s="70" t="s">
        <v>100</v>
      </c>
      <c r="AK137" s="70" t="s">
        <v>108</v>
      </c>
      <c r="AL137" s="15" t="s">
        <v>102</v>
      </c>
    </row>
    <row r="138" spans="34:38" x14ac:dyDescent="0.4">
      <c r="AH138" s="70" t="s">
        <v>101</v>
      </c>
      <c r="AI138" s="70" t="s">
        <v>101</v>
      </c>
      <c r="AJ138" s="70" t="s">
        <v>100</v>
      </c>
      <c r="AK138" s="70" t="s">
        <v>105</v>
      </c>
      <c r="AL138" s="15" t="s">
        <v>102</v>
      </c>
    </row>
    <row r="139" spans="34:38" x14ac:dyDescent="0.4">
      <c r="AH139" s="70" t="s">
        <v>101</v>
      </c>
      <c r="AI139" s="70" t="s">
        <v>101</v>
      </c>
      <c r="AJ139" s="70" t="s">
        <v>100</v>
      </c>
      <c r="AK139" s="70" t="s">
        <v>98</v>
      </c>
      <c r="AL139" s="15" t="s">
        <v>102</v>
      </c>
    </row>
    <row r="140" spans="34:38" x14ac:dyDescent="0.4">
      <c r="AH140" s="70" t="s">
        <v>101</v>
      </c>
      <c r="AI140" s="70" t="s">
        <v>101</v>
      </c>
      <c r="AJ140" s="70" t="s">
        <v>108</v>
      </c>
      <c r="AK140" s="70" t="s">
        <v>101</v>
      </c>
      <c r="AL140" s="15" t="s">
        <v>102</v>
      </c>
    </row>
    <row r="141" spans="34:38" x14ac:dyDescent="0.4">
      <c r="AH141" s="70" t="s">
        <v>101</v>
      </c>
      <c r="AI141" s="70" t="s">
        <v>101</v>
      </c>
      <c r="AJ141" s="70" t="s">
        <v>108</v>
      </c>
      <c r="AK141" s="70" t="s">
        <v>100</v>
      </c>
      <c r="AL141" s="15" t="s">
        <v>102</v>
      </c>
    </row>
    <row r="142" spans="34:38" x14ac:dyDescent="0.4">
      <c r="AH142" s="70" t="s">
        <v>101</v>
      </c>
      <c r="AI142" s="70" t="s">
        <v>101</v>
      </c>
      <c r="AJ142" s="70" t="s">
        <v>108</v>
      </c>
      <c r="AK142" s="70" t="s">
        <v>108</v>
      </c>
      <c r="AL142" s="15" t="s">
        <v>102</v>
      </c>
    </row>
    <row r="143" spans="34:38" x14ac:dyDescent="0.4">
      <c r="AH143" s="70" t="s">
        <v>101</v>
      </c>
      <c r="AI143" s="70" t="s">
        <v>101</v>
      </c>
      <c r="AJ143" s="70" t="s">
        <v>108</v>
      </c>
      <c r="AK143" s="70" t="s">
        <v>105</v>
      </c>
      <c r="AL143" s="15" t="s">
        <v>102</v>
      </c>
    </row>
    <row r="144" spans="34:38" x14ac:dyDescent="0.4">
      <c r="AH144" s="70" t="s">
        <v>101</v>
      </c>
      <c r="AI144" s="70" t="s">
        <v>101</v>
      </c>
      <c r="AJ144" s="70" t="s">
        <v>108</v>
      </c>
      <c r="AK144" s="70" t="s">
        <v>98</v>
      </c>
      <c r="AL144" s="15" t="s">
        <v>102</v>
      </c>
    </row>
    <row r="145" spans="34:38" x14ac:dyDescent="0.4">
      <c r="AH145" s="70" t="s">
        <v>101</v>
      </c>
      <c r="AI145" s="70" t="s">
        <v>101</v>
      </c>
      <c r="AJ145" s="70" t="s">
        <v>105</v>
      </c>
      <c r="AK145" s="70" t="s">
        <v>101</v>
      </c>
      <c r="AL145" s="15" t="s">
        <v>102</v>
      </c>
    </row>
    <row r="146" spans="34:38" x14ac:dyDescent="0.4">
      <c r="AH146" s="70" t="s">
        <v>101</v>
      </c>
      <c r="AI146" s="70" t="s">
        <v>101</v>
      </c>
      <c r="AJ146" s="70" t="s">
        <v>105</v>
      </c>
      <c r="AK146" s="70" t="s">
        <v>100</v>
      </c>
      <c r="AL146" s="15" t="s">
        <v>102</v>
      </c>
    </row>
    <row r="147" spans="34:38" x14ac:dyDescent="0.4">
      <c r="AH147" s="70" t="s">
        <v>101</v>
      </c>
      <c r="AI147" s="70" t="s">
        <v>101</v>
      </c>
      <c r="AJ147" s="70" t="s">
        <v>105</v>
      </c>
      <c r="AK147" s="70" t="s">
        <v>108</v>
      </c>
      <c r="AL147" s="15" t="s">
        <v>102</v>
      </c>
    </row>
    <row r="148" spans="34:38" x14ac:dyDescent="0.4">
      <c r="AH148" s="70" t="s">
        <v>101</v>
      </c>
      <c r="AI148" s="70" t="s">
        <v>101</v>
      </c>
      <c r="AJ148" s="70" t="s">
        <v>105</v>
      </c>
      <c r="AK148" s="70" t="s">
        <v>105</v>
      </c>
      <c r="AL148" s="15" t="s">
        <v>102</v>
      </c>
    </row>
    <row r="149" spans="34:38" x14ac:dyDescent="0.4">
      <c r="AH149" s="70" t="s">
        <v>101</v>
      </c>
      <c r="AI149" s="70" t="s">
        <v>101</v>
      </c>
      <c r="AJ149" s="70" t="s">
        <v>105</v>
      </c>
      <c r="AK149" s="70" t="s">
        <v>98</v>
      </c>
      <c r="AL149" s="15" t="s">
        <v>102</v>
      </c>
    </row>
    <row r="150" spans="34:38" x14ac:dyDescent="0.4">
      <c r="AH150" s="70" t="s">
        <v>101</v>
      </c>
      <c r="AI150" s="70" t="s">
        <v>101</v>
      </c>
      <c r="AJ150" s="70" t="s">
        <v>98</v>
      </c>
      <c r="AK150" s="70" t="s">
        <v>101</v>
      </c>
      <c r="AL150" s="15" t="s">
        <v>102</v>
      </c>
    </row>
    <row r="151" spans="34:38" x14ac:dyDescent="0.4">
      <c r="AH151" s="70" t="s">
        <v>101</v>
      </c>
      <c r="AI151" s="70" t="s">
        <v>101</v>
      </c>
      <c r="AJ151" s="70" t="s">
        <v>98</v>
      </c>
      <c r="AK151" s="70" t="s">
        <v>100</v>
      </c>
      <c r="AL151" s="15" t="s">
        <v>102</v>
      </c>
    </row>
    <row r="152" spans="34:38" x14ac:dyDescent="0.4">
      <c r="AH152" s="70" t="s">
        <v>101</v>
      </c>
      <c r="AI152" s="70" t="s">
        <v>101</v>
      </c>
      <c r="AJ152" s="70" t="s">
        <v>98</v>
      </c>
      <c r="AK152" s="70" t="s">
        <v>108</v>
      </c>
      <c r="AL152" s="15" t="s">
        <v>102</v>
      </c>
    </row>
    <row r="153" spans="34:38" x14ac:dyDescent="0.4">
      <c r="AH153" s="70" t="s">
        <v>101</v>
      </c>
      <c r="AI153" s="70" t="s">
        <v>101</v>
      </c>
      <c r="AJ153" s="70" t="s">
        <v>98</v>
      </c>
      <c r="AK153" s="70" t="s">
        <v>105</v>
      </c>
      <c r="AL153" s="15" t="s">
        <v>102</v>
      </c>
    </row>
    <row r="154" spans="34:38" x14ac:dyDescent="0.4">
      <c r="AH154" s="70" t="s">
        <v>101</v>
      </c>
      <c r="AI154" s="70" t="s">
        <v>101</v>
      </c>
      <c r="AJ154" s="70" t="s">
        <v>98</v>
      </c>
      <c r="AK154" s="70" t="s">
        <v>98</v>
      </c>
      <c r="AL154" s="15" t="s">
        <v>102</v>
      </c>
    </row>
    <row r="155" spans="34:38" x14ac:dyDescent="0.4">
      <c r="AH155" s="70" t="s">
        <v>101</v>
      </c>
      <c r="AI155" s="70" t="s">
        <v>100</v>
      </c>
      <c r="AJ155" s="70" t="s">
        <v>101</v>
      </c>
      <c r="AK155" s="70" t="s">
        <v>101</v>
      </c>
      <c r="AL155" s="15" t="s">
        <v>102</v>
      </c>
    </row>
    <row r="156" spans="34:38" x14ac:dyDescent="0.4">
      <c r="AH156" s="70" t="s">
        <v>101</v>
      </c>
      <c r="AI156" s="70" t="s">
        <v>100</v>
      </c>
      <c r="AJ156" s="70" t="s">
        <v>101</v>
      </c>
      <c r="AK156" s="70" t="s">
        <v>100</v>
      </c>
      <c r="AL156" s="15" t="s">
        <v>102</v>
      </c>
    </row>
    <row r="157" spans="34:38" x14ac:dyDescent="0.4">
      <c r="AH157" s="70" t="s">
        <v>101</v>
      </c>
      <c r="AI157" s="70" t="s">
        <v>100</v>
      </c>
      <c r="AJ157" s="70" t="s">
        <v>101</v>
      </c>
      <c r="AK157" s="70" t="s">
        <v>108</v>
      </c>
      <c r="AL157" s="15" t="s">
        <v>102</v>
      </c>
    </row>
    <row r="158" spans="34:38" x14ac:dyDescent="0.4">
      <c r="AH158" s="70" t="s">
        <v>101</v>
      </c>
      <c r="AI158" s="70" t="s">
        <v>100</v>
      </c>
      <c r="AJ158" s="70" t="s">
        <v>101</v>
      </c>
      <c r="AK158" s="70" t="s">
        <v>105</v>
      </c>
      <c r="AL158" s="15" t="s">
        <v>102</v>
      </c>
    </row>
    <row r="159" spans="34:38" x14ac:dyDescent="0.4">
      <c r="AH159" s="70" t="s">
        <v>101</v>
      </c>
      <c r="AI159" s="70" t="s">
        <v>100</v>
      </c>
      <c r="AJ159" s="70" t="s">
        <v>101</v>
      </c>
      <c r="AK159" s="70" t="s">
        <v>98</v>
      </c>
      <c r="AL159" s="15" t="s">
        <v>102</v>
      </c>
    </row>
    <row r="160" spans="34:38" x14ac:dyDescent="0.4">
      <c r="AH160" s="70" t="s">
        <v>101</v>
      </c>
      <c r="AI160" s="70" t="s">
        <v>100</v>
      </c>
      <c r="AJ160" s="70" t="s">
        <v>100</v>
      </c>
      <c r="AK160" s="70" t="s">
        <v>101</v>
      </c>
      <c r="AL160" s="15" t="s">
        <v>102</v>
      </c>
    </row>
    <row r="161" spans="34:38" x14ac:dyDescent="0.4">
      <c r="AH161" s="70" t="s">
        <v>101</v>
      </c>
      <c r="AI161" s="70" t="s">
        <v>100</v>
      </c>
      <c r="AJ161" s="70" t="s">
        <v>100</v>
      </c>
      <c r="AK161" s="70" t="s">
        <v>100</v>
      </c>
      <c r="AL161" s="15" t="s">
        <v>102</v>
      </c>
    </row>
    <row r="162" spans="34:38" x14ac:dyDescent="0.4">
      <c r="AH162" s="70" t="s">
        <v>101</v>
      </c>
      <c r="AI162" s="70" t="s">
        <v>100</v>
      </c>
      <c r="AJ162" s="70" t="s">
        <v>100</v>
      </c>
      <c r="AK162" s="70" t="s">
        <v>108</v>
      </c>
      <c r="AL162" s="15" t="s">
        <v>102</v>
      </c>
    </row>
    <row r="163" spans="34:38" x14ac:dyDescent="0.4">
      <c r="AH163" s="70" t="s">
        <v>101</v>
      </c>
      <c r="AI163" s="70" t="s">
        <v>100</v>
      </c>
      <c r="AJ163" s="70" t="s">
        <v>100</v>
      </c>
      <c r="AK163" s="70" t="s">
        <v>105</v>
      </c>
      <c r="AL163" s="15" t="s">
        <v>102</v>
      </c>
    </row>
    <row r="164" spans="34:38" x14ac:dyDescent="0.4">
      <c r="AH164" s="70" t="s">
        <v>101</v>
      </c>
      <c r="AI164" s="70" t="s">
        <v>100</v>
      </c>
      <c r="AJ164" s="70" t="s">
        <v>100</v>
      </c>
      <c r="AK164" s="70" t="s">
        <v>98</v>
      </c>
      <c r="AL164" s="15" t="s">
        <v>102</v>
      </c>
    </row>
    <row r="165" spans="34:38" x14ac:dyDescent="0.4">
      <c r="AH165" s="70" t="s">
        <v>101</v>
      </c>
      <c r="AI165" s="70" t="s">
        <v>100</v>
      </c>
      <c r="AJ165" s="70" t="s">
        <v>108</v>
      </c>
      <c r="AK165" s="70" t="s">
        <v>101</v>
      </c>
      <c r="AL165" s="15" t="s">
        <v>102</v>
      </c>
    </row>
    <row r="166" spans="34:38" x14ac:dyDescent="0.4">
      <c r="AH166" s="70" t="s">
        <v>101</v>
      </c>
      <c r="AI166" s="70" t="s">
        <v>100</v>
      </c>
      <c r="AJ166" s="70" t="s">
        <v>108</v>
      </c>
      <c r="AK166" s="70" t="s">
        <v>100</v>
      </c>
      <c r="AL166" s="15" t="s">
        <v>102</v>
      </c>
    </row>
    <row r="167" spans="34:38" x14ac:dyDescent="0.4">
      <c r="AH167" s="70" t="s">
        <v>101</v>
      </c>
      <c r="AI167" s="70" t="s">
        <v>100</v>
      </c>
      <c r="AJ167" s="70" t="s">
        <v>108</v>
      </c>
      <c r="AK167" s="70" t="s">
        <v>108</v>
      </c>
      <c r="AL167" s="15" t="s">
        <v>102</v>
      </c>
    </row>
    <row r="168" spans="34:38" x14ac:dyDescent="0.4">
      <c r="AH168" s="70" t="s">
        <v>101</v>
      </c>
      <c r="AI168" s="70" t="s">
        <v>100</v>
      </c>
      <c r="AJ168" s="70" t="s">
        <v>108</v>
      </c>
      <c r="AK168" s="70" t="s">
        <v>105</v>
      </c>
      <c r="AL168" s="15" t="s">
        <v>102</v>
      </c>
    </row>
    <row r="169" spans="34:38" x14ac:dyDescent="0.4">
      <c r="AH169" s="70" t="s">
        <v>101</v>
      </c>
      <c r="AI169" s="70" t="s">
        <v>100</v>
      </c>
      <c r="AJ169" s="70" t="s">
        <v>108</v>
      </c>
      <c r="AK169" s="70" t="s">
        <v>98</v>
      </c>
      <c r="AL169" s="15" t="s">
        <v>102</v>
      </c>
    </row>
    <row r="170" spans="34:38" x14ac:dyDescent="0.4">
      <c r="AH170" s="70" t="s">
        <v>101</v>
      </c>
      <c r="AI170" s="70" t="s">
        <v>100</v>
      </c>
      <c r="AJ170" s="70" t="s">
        <v>105</v>
      </c>
      <c r="AK170" s="70" t="s">
        <v>101</v>
      </c>
      <c r="AL170" s="15" t="s">
        <v>102</v>
      </c>
    </row>
    <row r="171" spans="34:38" x14ac:dyDescent="0.4">
      <c r="AH171" s="70" t="s">
        <v>101</v>
      </c>
      <c r="AI171" s="70" t="s">
        <v>100</v>
      </c>
      <c r="AJ171" s="70" t="s">
        <v>105</v>
      </c>
      <c r="AK171" s="70" t="s">
        <v>100</v>
      </c>
      <c r="AL171" s="15" t="s">
        <v>102</v>
      </c>
    </row>
    <row r="172" spans="34:38" x14ac:dyDescent="0.4">
      <c r="AH172" s="70" t="s">
        <v>101</v>
      </c>
      <c r="AI172" s="70" t="s">
        <v>100</v>
      </c>
      <c r="AJ172" s="70" t="s">
        <v>105</v>
      </c>
      <c r="AK172" s="70" t="s">
        <v>108</v>
      </c>
      <c r="AL172" s="15" t="s">
        <v>102</v>
      </c>
    </row>
    <row r="173" spans="34:38" x14ac:dyDescent="0.4">
      <c r="AH173" s="70" t="s">
        <v>101</v>
      </c>
      <c r="AI173" s="70" t="s">
        <v>100</v>
      </c>
      <c r="AJ173" s="70" t="s">
        <v>105</v>
      </c>
      <c r="AK173" s="70" t="s">
        <v>105</v>
      </c>
      <c r="AL173" s="15" t="s">
        <v>102</v>
      </c>
    </row>
    <row r="174" spans="34:38" x14ac:dyDescent="0.4">
      <c r="AH174" s="70" t="s">
        <v>101</v>
      </c>
      <c r="AI174" s="70" t="s">
        <v>100</v>
      </c>
      <c r="AJ174" s="70" t="s">
        <v>105</v>
      </c>
      <c r="AK174" s="70" t="s">
        <v>98</v>
      </c>
      <c r="AL174" s="15" t="s">
        <v>102</v>
      </c>
    </row>
    <row r="175" spans="34:38" x14ac:dyDescent="0.4">
      <c r="AH175" s="70" t="s">
        <v>101</v>
      </c>
      <c r="AI175" s="70" t="s">
        <v>100</v>
      </c>
      <c r="AJ175" s="70" t="s">
        <v>98</v>
      </c>
      <c r="AK175" s="70" t="s">
        <v>101</v>
      </c>
      <c r="AL175" s="15" t="s">
        <v>102</v>
      </c>
    </row>
    <row r="176" spans="34:38" x14ac:dyDescent="0.4">
      <c r="AH176" s="70" t="s">
        <v>101</v>
      </c>
      <c r="AI176" s="70" t="s">
        <v>100</v>
      </c>
      <c r="AJ176" s="70" t="s">
        <v>98</v>
      </c>
      <c r="AK176" s="70" t="s">
        <v>100</v>
      </c>
      <c r="AL176" s="15" t="s">
        <v>102</v>
      </c>
    </row>
    <row r="177" spans="34:38" x14ac:dyDescent="0.4">
      <c r="AH177" s="70" t="s">
        <v>101</v>
      </c>
      <c r="AI177" s="70" t="s">
        <v>100</v>
      </c>
      <c r="AJ177" s="70" t="s">
        <v>98</v>
      </c>
      <c r="AK177" s="70" t="s">
        <v>108</v>
      </c>
      <c r="AL177" s="15" t="s">
        <v>102</v>
      </c>
    </row>
    <row r="178" spans="34:38" x14ac:dyDescent="0.4">
      <c r="AH178" s="70" t="s">
        <v>101</v>
      </c>
      <c r="AI178" s="70" t="s">
        <v>100</v>
      </c>
      <c r="AJ178" s="70" t="s">
        <v>98</v>
      </c>
      <c r="AK178" s="70" t="s">
        <v>105</v>
      </c>
      <c r="AL178" s="15" t="s">
        <v>102</v>
      </c>
    </row>
    <row r="179" spans="34:38" x14ac:dyDescent="0.4">
      <c r="AH179" s="70" t="s">
        <v>101</v>
      </c>
      <c r="AI179" s="70" t="s">
        <v>100</v>
      </c>
      <c r="AJ179" s="70" t="s">
        <v>98</v>
      </c>
      <c r="AK179" s="70" t="s">
        <v>98</v>
      </c>
      <c r="AL179" s="15" t="s">
        <v>102</v>
      </c>
    </row>
    <row r="180" spans="34:38" x14ac:dyDescent="0.4">
      <c r="AH180" s="70" t="s">
        <v>101</v>
      </c>
      <c r="AI180" s="70" t="s">
        <v>108</v>
      </c>
      <c r="AJ180" s="70" t="s">
        <v>101</v>
      </c>
      <c r="AK180" s="70" t="s">
        <v>101</v>
      </c>
      <c r="AL180" s="15" t="s">
        <v>102</v>
      </c>
    </row>
    <row r="181" spans="34:38" x14ac:dyDescent="0.4">
      <c r="AH181" s="70" t="s">
        <v>101</v>
      </c>
      <c r="AI181" s="70" t="s">
        <v>108</v>
      </c>
      <c r="AJ181" s="70" t="s">
        <v>101</v>
      </c>
      <c r="AK181" s="70" t="s">
        <v>100</v>
      </c>
      <c r="AL181" s="15" t="s">
        <v>102</v>
      </c>
    </row>
    <row r="182" spans="34:38" x14ac:dyDescent="0.4">
      <c r="AH182" s="70" t="s">
        <v>101</v>
      </c>
      <c r="AI182" s="70" t="s">
        <v>108</v>
      </c>
      <c r="AJ182" s="70" t="s">
        <v>101</v>
      </c>
      <c r="AK182" s="70" t="s">
        <v>108</v>
      </c>
      <c r="AL182" s="15" t="s">
        <v>102</v>
      </c>
    </row>
    <row r="183" spans="34:38" x14ac:dyDescent="0.4">
      <c r="AH183" s="70" t="s">
        <v>101</v>
      </c>
      <c r="AI183" s="70" t="s">
        <v>108</v>
      </c>
      <c r="AJ183" s="70" t="s">
        <v>101</v>
      </c>
      <c r="AK183" s="70" t="s">
        <v>105</v>
      </c>
      <c r="AL183" s="15" t="s">
        <v>102</v>
      </c>
    </row>
    <row r="184" spans="34:38" x14ac:dyDescent="0.4">
      <c r="AH184" s="70" t="s">
        <v>101</v>
      </c>
      <c r="AI184" s="70" t="s">
        <v>108</v>
      </c>
      <c r="AJ184" s="70" t="s">
        <v>101</v>
      </c>
      <c r="AK184" s="70" t="s">
        <v>98</v>
      </c>
      <c r="AL184" s="15" t="s">
        <v>102</v>
      </c>
    </row>
    <row r="185" spans="34:38" x14ac:dyDescent="0.4">
      <c r="AH185" s="70" t="s">
        <v>101</v>
      </c>
      <c r="AI185" s="70" t="s">
        <v>108</v>
      </c>
      <c r="AJ185" s="70" t="s">
        <v>100</v>
      </c>
      <c r="AK185" s="70" t="s">
        <v>101</v>
      </c>
      <c r="AL185" s="15" t="s">
        <v>102</v>
      </c>
    </row>
    <row r="186" spans="34:38" x14ac:dyDescent="0.4">
      <c r="AH186" s="70" t="s">
        <v>101</v>
      </c>
      <c r="AI186" s="70" t="s">
        <v>108</v>
      </c>
      <c r="AJ186" s="70" t="s">
        <v>100</v>
      </c>
      <c r="AK186" s="70" t="s">
        <v>100</v>
      </c>
      <c r="AL186" s="15" t="s">
        <v>102</v>
      </c>
    </row>
    <row r="187" spans="34:38" x14ac:dyDescent="0.4">
      <c r="AH187" s="70" t="s">
        <v>101</v>
      </c>
      <c r="AI187" s="70" t="s">
        <v>108</v>
      </c>
      <c r="AJ187" s="70" t="s">
        <v>100</v>
      </c>
      <c r="AK187" s="70" t="s">
        <v>108</v>
      </c>
      <c r="AL187" s="15" t="s">
        <v>102</v>
      </c>
    </row>
    <row r="188" spans="34:38" x14ac:dyDescent="0.4">
      <c r="AH188" s="70" t="s">
        <v>101</v>
      </c>
      <c r="AI188" s="70" t="s">
        <v>108</v>
      </c>
      <c r="AJ188" s="70" t="s">
        <v>100</v>
      </c>
      <c r="AK188" s="70" t="s">
        <v>105</v>
      </c>
      <c r="AL188" s="15" t="s">
        <v>102</v>
      </c>
    </row>
    <row r="189" spans="34:38" x14ac:dyDescent="0.4">
      <c r="AH189" s="70" t="s">
        <v>101</v>
      </c>
      <c r="AI189" s="70" t="s">
        <v>108</v>
      </c>
      <c r="AJ189" s="70" t="s">
        <v>100</v>
      </c>
      <c r="AK189" s="70" t="s">
        <v>98</v>
      </c>
      <c r="AL189" s="15" t="s">
        <v>102</v>
      </c>
    </row>
    <row r="190" spans="34:38" x14ac:dyDescent="0.4">
      <c r="AH190" s="70" t="s">
        <v>101</v>
      </c>
      <c r="AI190" s="70" t="s">
        <v>108</v>
      </c>
      <c r="AJ190" s="70" t="s">
        <v>108</v>
      </c>
      <c r="AK190" s="70" t="s">
        <v>101</v>
      </c>
      <c r="AL190" s="15" t="s">
        <v>102</v>
      </c>
    </row>
    <row r="191" spans="34:38" x14ac:dyDescent="0.4">
      <c r="AH191" s="70" t="s">
        <v>101</v>
      </c>
      <c r="AI191" s="70" t="s">
        <v>108</v>
      </c>
      <c r="AJ191" s="70" t="s">
        <v>108</v>
      </c>
      <c r="AK191" s="70" t="s">
        <v>100</v>
      </c>
      <c r="AL191" s="15" t="s">
        <v>102</v>
      </c>
    </row>
    <row r="192" spans="34:38" x14ac:dyDescent="0.4">
      <c r="AH192" s="70" t="s">
        <v>101</v>
      </c>
      <c r="AI192" s="70" t="s">
        <v>108</v>
      </c>
      <c r="AJ192" s="70" t="s">
        <v>108</v>
      </c>
      <c r="AK192" s="70" t="s">
        <v>108</v>
      </c>
      <c r="AL192" s="15" t="s">
        <v>102</v>
      </c>
    </row>
    <row r="193" spans="34:38" x14ac:dyDescent="0.4">
      <c r="AH193" s="70" t="s">
        <v>101</v>
      </c>
      <c r="AI193" s="70" t="s">
        <v>108</v>
      </c>
      <c r="AJ193" s="70" t="s">
        <v>108</v>
      </c>
      <c r="AK193" s="70" t="s">
        <v>105</v>
      </c>
      <c r="AL193" s="15" t="s">
        <v>102</v>
      </c>
    </row>
    <row r="194" spans="34:38" x14ac:dyDescent="0.4">
      <c r="AH194" s="70" t="s">
        <v>101</v>
      </c>
      <c r="AI194" s="70" t="s">
        <v>108</v>
      </c>
      <c r="AJ194" s="70" t="s">
        <v>108</v>
      </c>
      <c r="AK194" s="70" t="s">
        <v>98</v>
      </c>
      <c r="AL194" s="15" t="s">
        <v>102</v>
      </c>
    </row>
    <row r="195" spans="34:38" x14ac:dyDescent="0.4">
      <c r="AH195" s="70" t="s">
        <v>101</v>
      </c>
      <c r="AI195" s="70" t="s">
        <v>108</v>
      </c>
      <c r="AJ195" s="70" t="s">
        <v>105</v>
      </c>
      <c r="AK195" s="70" t="s">
        <v>101</v>
      </c>
      <c r="AL195" s="15" t="s">
        <v>102</v>
      </c>
    </row>
    <row r="196" spans="34:38" x14ac:dyDescent="0.4">
      <c r="AH196" s="70" t="s">
        <v>101</v>
      </c>
      <c r="AI196" s="70" t="s">
        <v>108</v>
      </c>
      <c r="AJ196" s="70" t="s">
        <v>105</v>
      </c>
      <c r="AK196" s="70" t="s">
        <v>100</v>
      </c>
      <c r="AL196" s="15" t="s">
        <v>102</v>
      </c>
    </row>
    <row r="197" spans="34:38" x14ac:dyDescent="0.4">
      <c r="AH197" s="70" t="s">
        <v>101</v>
      </c>
      <c r="AI197" s="70" t="s">
        <v>108</v>
      </c>
      <c r="AJ197" s="70" t="s">
        <v>105</v>
      </c>
      <c r="AK197" s="70" t="s">
        <v>108</v>
      </c>
      <c r="AL197" s="15" t="s">
        <v>102</v>
      </c>
    </row>
    <row r="198" spans="34:38" x14ac:dyDescent="0.4">
      <c r="AH198" s="70" t="s">
        <v>101</v>
      </c>
      <c r="AI198" s="70" t="s">
        <v>108</v>
      </c>
      <c r="AJ198" s="70" t="s">
        <v>105</v>
      </c>
      <c r="AK198" s="70" t="s">
        <v>105</v>
      </c>
      <c r="AL198" s="15" t="s">
        <v>102</v>
      </c>
    </row>
    <row r="199" spans="34:38" x14ac:dyDescent="0.4">
      <c r="AH199" s="70" t="s">
        <v>101</v>
      </c>
      <c r="AI199" s="70" t="s">
        <v>108</v>
      </c>
      <c r="AJ199" s="70" t="s">
        <v>105</v>
      </c>
      <c r="AK199" s="70" t="s">
        <v>98</v>
      </c>
      <c r="AL199" s="15" t="s">
        <v>102</v>
      </c>
    </row>
    <row r="200" spans="34:38" x14ac:dyDescent="0.4">
      <c r="AH200" s="70" t="s">
        <v>101</v>
      </c>
      <c r="AI200" s="70" t="s">
        <v>108</v>
      </c>
      <c r="AJ200" s="70" t="s">
        <v>98</v>
      </c>
      <c r="AK200" s="70" t="s">
        <v>101</v>
      </c>
      <c r="AL200" s="15" t="s">
        <v>102</v>
      </c>
    </row>
    <row r="201" spans="34:38" x14ac:dyDescent="0.4">
      <c r="AH201" s="70" t="s">
        <v>101</v>
      </c>
      <c r="AI201" s="70" t="s">
        <v>108</v>
      </c>
      <c r="AJ201" s="70" t="s">
        <v>98</v>
      </c>
      <c r="AK201" s="70" t="s">
        <v>100</v>
      </c>
      <c r="AL201" s="15" t="s">
        <v>102</v>
      </c>
    </row>
    <row r="202" spans="34:38" x14ac:dyDescent="0.4">
      <c r="AH202" s="70" t="s">
        <v>101</v>
      </c>
      <c r="AI202" s="70" t="s">
        <v>108</v>
      </c>
      <c r="AJ202" s="70" t="s">
        <v>98</v>
      </c>
      <c r="AK202" s="70" t="s">
        <v>108</v>
      </c>
      <c r="AL202" s="15" t="s">
        <v>102</v>
      </c>
    </row>
    <row r="203" spans="34:38" x14ac:dyDescent="0.4">
      <c r="AH203" s="70" t="s">
        <v>101</v>
      </c>
      <c r="AI203" s="70" t="s">
        <v>108</v>
      </c>
      <c r="AJ203" s="70" t="s">
        <v>98</v>
      </c>
      <c r="AK203" s="70" t="s">
        <v>105</v>
      </c>
      <c r="AL203" s="15" t="s">
        <v>102</v>
      </c>
    </row>
    <row r="204" spans="34:38" x14ac:dyDescent="0.4">
      <c r="AH204" s="70" t="s">
        <v>101</v>
      </c>
      <c r="AI204" s="70" t="s">
        <v>108</v>
      </c>
      <c r="AJ204" s="70" t="s">
        <v>98</v>
      </c>
      <c r="AK204" s="70" t="s">
        <v>98</v>
      </c>
      <c r="AL204" s="15" t="s">
        <v>102</v>
      </c>
    </row>
    <row r="205" spans="34:38" x14ac:dyDescent="0.4">
      <c r="AH205" s="70" t="s">
        <v>101</v>
      </c>
      <c r="AI205" s="70" t="s">
        <v>105</v>
      </c>
      <c r="AJ205" s="70" t="s">
        <v>101</v>
      </c>
      <c r="AK205" s="70" t="s">
        <v>101</v>
      </c>
      <c r="AL205" s="15" t="s">
        <v>102</v>
      </c>
    </row>
    <row r="206" spans="34:38" x14ac:dyDescent="0.4">
      <c r="AH206" s="70" t="s">
        <v>101</v>
      </c>
      <c r="AI206" s="70" t="s">
        <v>105</v>
      </c>
      <c r="AJ206" s="70" t="s">
        <v>101</v>
      </c>
      <c r="AK206" s="70" t="s">
        <v>100</v>
      </c>
      <c r="AL206" s="15" t="s">
        <v>102</v>
      </c>
    </row>
    <row r="207" spans="34:38" x14ac:dyDescent="0.4">
      <c r="AH207" s="70" t="s">
        <v>101</v>
      </c>
      <c r="AI207" s="70" t="s">
        <v>105</v>
      </c>
      <c r="AJ207" s="70" t="s">
        <v>101</v>
      </c>
      <c r="AK207" s="70" t="s">
        <v>108</v>
      </c>
      <c r="AL207" s="15" t="s">
        <v>102</v>
      </c>
    </row>
    <row r="208" spans="34:38" x14ac:dyDescent="0.4">
      <c r="AH208" s="70" t="s">
        <v>101</v>
      </c>
      <c r="AI208" s="70" t="s">
        <v>105</v>
      </c>
      <c r="AJ208" s="70" t="s">
        <v>101</v>
      </c>
      <c r="AK208" s="70" t="s">
        <v>105</v>
      </c>
      <c r="AL208" s="15" t="s">
        <v>102</v>
      </c>
    </row>
    <row r="209" spans="34:38" x14ac:dyDescent="0.4">
      <c r="AH209" s="70" t="s">
        <v>101</v>
      </c>
      <c r="AI209" s="70" t="s">
        <v>105</v>
      </c>
      <c r="AJ209" s="70" t="s">
        <v>101</v>
      </c>
      <c r="AK209" s="70" t="s">
        <v>98</v>
      </c>
      <c r="AL209" s="15" t="s">
        <v>102</v>
      </c>
    </row>
    <row r="210" spans="34:38" x14ac:dyDescent="0.4">
      <c r="AH210" s="70" t="s">
        <v>101</v>
      </c>
      <c r="AI210" s="70" t="s">
        <v>105</v>
      </c>
      <c r="AJ210" s="70" t="s">
        <v>100</v>
      </c>
      <c r="AK210" s="70" t="s">
        <v>101</v>
      </c>
      <c r="AL210" s="15" t="s">
        <v>102</v>
      </c>
    </row>
    <row r="211" spans="34:38" x14ac:dyDescent="0.4">
      <c r="AH211" s="70" t="s">
        <v>101</v>
      </c>
      <c r="AI211" s="70" t="s">
        <v>105</v>
      </c>
      <c r="AJ211" s="70" t="s">
        <v>100</v>
      </c>
      <c r="AK211" s="70" t="s">
        <v>100</v>
      </c>
      <c r="AL211" s="15" t="s">
        <v>102</v>
      </c>
    </row>
    <row r="212" spans="34:38" x14ac:dyDescent="0.4">
      <c r="AH212" s="70" t="s">
        <v>101</v>
      </c>
      <c r="AI212" s="70" t="s">
        <v>105</v>
      </c>
      <c r="AJ212" s="70" t="s">
        <v>100</v>
      </c>
      <c r="AK212" s="70" t="s">
        <v>108</v>
      </c>
      <c r="AL212" s="15" t="s">
        <v>102</v>
      </c>
    </row>
    <row r="213" spans="34:38" x14ac:dyDescent="0.4">
      <c r="AH213" s="70" t="s">
        <v>101</v>
      </c>
      <c r="AI213" s="70" t="s">
        <v>105</v>
      </c>
      <c r="AJ213" s="70" t="s">
        <v>100</v>
      </c>
      <c r="AK213" s="70" t="s">
        <v>105</v>
      </c>
      <c r="AL213" s="15" t="s">
        <v>102</v>
      </c>
    </row>
    <row r="214" spans="34:38" x14ac:dyDescent="0.4">
      <c r="AH214" s="70" t="s">
        <v>101</v>
      </c>
      <c r="AI214" s="70" t="s">
        <v>105</v>
      </c>
      <c r="AJ214" s="70" t="s">
        <v>100</v>
      </c>
      <c r="AK214" s="70" t="s">
        <v>98</v>
      </c>
      <c r="AL214" s="15" t="s">
        <v>102</v>
      </c>
    </row>
    <row r="215" spans="34:38" x14ac:dyDescent="0.4">
      <c r="AH215" s="70" t="s">
        <v>101</v>
      </c>
      <c r="AI215" s="70" t="s">
        <v>105</v>
      </c>
      <c r="AJ215" s="70" t="s">
        <v>108</v>
      </c>
      <c r="AK215" s="70" t="s">
        <v>101</v>
      </c>
      <c r="AL215" s="15" t="s">
        <v>102</v>
      </c>
    </row>
    <row r="216" spans="34:38" x14ac:dyDescent="0.4">
      <c r="AH216" s="70" t="s">
        <v>101</v>
      </c>
      <c r="AI216" s="70" t="s">
        <v>105</v>
      </c>
      <c r="AJ216" s="70" t="s">
        <v>108</v>
      </c>
      <c r="AK216" s="70" t="s">
        <v>100</v>
      </c>
      <c r="AL216" s="15" t="s">
        <v>102</v>
      </c>
    </row>
    <row r="217" spans="34:38" x14ac:dyDescent="0.4">
      <c r="AH217" s="70" t="s">
        <v>101</v>
      </c>
      <c r="AI217" s="70" t="s">
        <v>105</v>
      </c>
      <c r="AJ217" s="70" t="s">
        <v>108</v>
      </c>
      <c r="AK217" s="70" t="s">
        <v>108</v>
      </c>
      <c r="AL217" s="15" t="s">
        <v>102</v>
      </c>
    </row>
    <row r="218" spans="34:38" x14ac:dyDescent="0.4">
      <c r="AH218" s="70" t="s">
        <v>101</v>
      </c>
      <c r="AI218" s="70" t="s">
        <v>105</v>
      </c>
      <c r="AJ218" s="70" t="s">
        <v>108</v>
      </c>
      <c r="AK218" s="70" t="s">
        <v>105</v>
      </c>
      <c r="AL218" s="15" t="s">
        <v>102</v>
      </c>
    </row>
    <row r="219" spans="34:38" x14ac:dyDescent="0.4">
      <c r="AH219" s="70" t="s">
        <v>101</v>
      </c>
      <c r="AI219" s="70" t="s">
        <v>105</v>
      </c>
      <c r="AJ219" s="70" t="s">
        <v>108</v>
      </c>
      <c r="AK219" s="70" t="s">
        <v>98</v>
      </c>
      <c r="AL219" s="15" t="s">
        <v>102</v>
      </c>
    </row>
    <row r="220" spans="34:38" x14ac:dyDescent="0.4">
      <c r="AH220" s="70" t="s">
        <v>101</v>
      </c>
      <c r="AI220" s="70" t="s">
        <v>105</v>
      </c>
      <c r="AJ220" s="70" t="s">
        <v>105</v>
      </c>
      <c r="AK220" s="70" t="s">
        <v>101</v>
      </c>
      <c r="AL220" s="15" t="s">
        <v>102</v>
      </c>
    </row>
    <row r="221" spans="34:38" x14ac:dyDescent="0.4">
      <c r="AH221" s="70" t="s">
        <v>101</v>
      </c>
      <c r="AI221" s="70" t="s">
        <v>105</v>
      </c>
      <c r="AJ221" s="70" t="s">
        <v>105</v>
      </c>
      <c r="AK221" s="70" t="s">
        <v>100</v>
      </c>
      <c r="AL221" s="15" t="s">
        <v>102</v>
      </c>
    </row>
    <row r="222" spans="34:38" x14ac:dyDescent="0.4">
      <c r="AH222" s="70" t="s">
        <v>101</v>
      </c>
      <c r="AI222" s="70" t="s">
        <v>105</v>
      </c>
      <c r="AJ222" s="70" t="s">
        <v>105</v>
      </c>
      <c r="AK222" s="70" t="s">
        <v>108</v>
      </c>
      <c r="AL222" s="15" t="s">
        <v>102</v>
      </c>
    </row>
    <row r="223" spans="34:38" x14ac:dyDescent="0.4">
      <c r="AH223" s="70" t="s">
        <v>101</v>
      </c>
      <c r="AI223" s="70" t="s">
        <v>105</v>
      </c>
      <c r="AJ223" s="70" t="s">
        <v>105</v>
      </c>
      <c r="AK223" s="70" t="s">
        <v>105</v>
      </c>
      <c r="AL223" s="15" t="s">
        <v>102</v>
      </c>
    </row>
    <row r="224" spans="34:38" x14ac:dyDescent="0.4">
      <c r="AH224" s="70" t="s">
        <v>101</v>
      </c>
      <c r="AI224" s="70" t="s">
        <v>105</v>
      </c>
      <c r="AJ224" s="70" t="s">
        <v>105</v>
      </c>
      <c r="AK224" s="70" t="s">
        <v>98</v>
      </c>
      <c r="AL224" s="15" t="s">
        <v>102</v>
      </c>
    </row>
    <row r="225" spans="34:38" x14ac:dyDescent="0.4">
      <c r="AH225" s="70" t="s">
        <v>101</v>
      </c>
      <c r="AI225" s="70" t="s">
        <v>105</v>
      </c>
      <c r="AJ225" s="70" t="s">
        <v>98</v>
      </c>
      <c r="AK225" s="70" t="s">
        <v>101</v>
      </c>
      <c r="AL225" s="15" t="s">
        <v>102</v>
      </c>
    </row>
    <row r="226" spans="34:38" x14ac:dyDescent="0.4">
      <c r="AH226" s="70" t="s">
        <v>101</v>
      </c>
      <c r="AI226" s="70" t="s">
        <v>105</v>
      </c>
      <c r="AJ226" s="70" t="s">
        <v>98</v>
      </c>
      <c r="AK226" s="70" t="s">
        <v>100</v>
      </c>
      <c r="AL226" s="15" t="s">
        <v>102</v>
      </c>
    </row>
    <row r="227" spans="34:38" x14ac:dyDescent="0.4">
      <c r="AH227" s="70" t="s">
        <v>101</v>
      </c>
      <c r="AI227" s="70" t="s">
        <v>105</v>
      </c>
      <c r="AJ227" s="70" t="s">
        <v>98</v>
      </c>
      <c r="AK227" s="70" t="s">
        <v>108</v>
      </c>
      <c r="AL227" s="15" t="s">
        <v>102</v>
      </c>
    </row>
    <row r="228" spans="34:38" x14ac:dyDescent="0.4">
      <c r="AH228" s="70" t="s">
        <v>101</v>
      </c>
      <c r="AI228" s="70" t="s">
        <v>105</v>
      </c>
      <c r="AJ228" s="70" t="s">
        <v>98</v>
      </c>
      <c r="AK228" s="70" t="s">
        <v>105</v>
      </c>
      <c r="AL228" s="15" t="s">
        <v>102</v>
      </c>
    </row>
    <row r="229" spans="34:38" x14ac:dyDescent="0.4">
      <c r="AH229" s="70" t="s">
        <v>101</v>
      </c>
      <c r="AI229" s="70" t="s">
        <v>105</v>
      </c>
      <c r="AJ229" s="70" t="s">
        <v>98</v>
      </c>
      <c r="AK229" s="70" t="s">
        <v>98</v>
      </c>
      <c r="AL229" s="15" t="s">
        <v>102</v>
      </c>
    </row>
    <row r="230" spans="34:38" x14ac:dyDescent="0.4">
      <c r="AH230" s="70" t="s">
        <v>101</v>
      </c>
      <c r="AI230" s="70" t="s">
        <v>98</v>
      </c>
      <c r="AJ230" s="70" t="s">
        <v>101</v>
      </c>
      <c r="AK230" s="70" t="s">
        <v>101</v>
      </c>
      <c r="AL230" s="15" t="s">
        <v>102</v>
      </c>
    </row>
    <row r="231" spans="34:38" x14ac:dyDescent="0.4">
      <c r="AH231" s="70" t="s">
        <v>101</v>
      </c>
      <c r="AI231" s="70" t="s">
        <v>98</v>
      </c>
      <c r="AJ231" s="70" t="s">
        <v>101</v>
      </c>
      <c r="AK231" s="70" t="s">
        <v>100</v>
      </c>
      <c r="AL231" s="15" t="s">
        <v>102</v>
      </c>
    </row>
    <row r="232" spans="34:38" x14ac:dyDescent="0.4">
      <c r="AH232" s="70" t="s">
        <v>101</v>
      </c>
      <c r="AI232" s="70" t="s">
        <v>98</v>
      </c>
      <c r="AJ232" s="70" t="s">
        <v>101</v>
      </c>
      <c r="AK232" s="70" t="s">
        <v>108</v>
      </c>
      <c r="AL232" s="15" t="s">
        <v>102</v>
      </c>
    </row>
    <row r="233" spans="34:38" x14ac:dyDescent="0.4">
      <c r="AH233" s="70" t="s">
        <v>101</v>
      </c>
      <c r="AI233" s="70" t="s">
        <v>98</v>
      </c>
      <c r="AJ233" s="70" t="s">
        <v>101</v>
      </c>
      <c r="AK233" s="70" t="s">
        <v>105</v>
      </c>
      <c r="AL233" s="15" t="s">
        <v>102</v>
      </c>
    </row>
    <row r="234" spans="34:38" x14ac:dyDescent="0.4">
      <c r="AH234" s="70" t="s">
        <v>101</v>
      </c>
      <c r="AI234" s="70" t="s">
        <v>98</v>
      </c>
      <c r="AJ234" s="70" t="s">
        <v>101</v>
      </c>
      <c r="AK234" s="70" t="s">
        <v>98</v>
      </c>
      <c r="AL234" s="15" t="s">
        <v>102</v>
      </c>
    </row>
    <row r="235" spans="34:38" x14ac:dyDescent="0.4">
      <c r="AH235" s="70" t="s">
        <v>101</v>
      </c>
      <c r="AI235" s="70" t="s">
        <v>98</v>
      </c>
      <c r="AJ235" s="70" t="s">
        <v>100</v>
      </c>
      <c r="AK235" s="70" t="s">
        <v>101</v>
      </c>
      <c r="AL235" s="15" t="s">
        <v>102</v>
      </c>
    </row>
    <row r="236" spans="34:38" x14ac:dyDescent="0.4">
      <c r="AH236" s="70" t="s">
        <v>101</v>
      </c>
      <c r="AI236" s="70" t="s">
        <v>98</v>
      </c>
      <c r="AJ236" s="70" t="s">
        <v>100</v>
      </c>
      <c r="AK236" s="70" t="s">
        <v>100</v>
      </c>
      <c r="AL236" s="15" t="s">
        <v>102</v>
      </c>
    </row>
    <row r="237" spans="34:38" x14ac:dyDescent="0.4">
      <c r="AH237" s="70" t="s">
        <v>101</v>
      </c>
      <c r="AI237" s="70" t="s">
        <v>98</v>
      </c>
      <c r="AJ237" s="70" t="s">
        <v>100</v>
      </c>
      <c r="AK237" s="70" t="s">
        <v>108</v>
      </c>
      <c r="AL237" s="15" t="s">
        <v>102</v>
      </c>
    </row>
    <row r="238" spans="34:38" x14ac:dyDescent="0.4">
      <c r="AH238" s="70" t="s">
        <v>101</v>
      </c>
      <c r="AI238" s="70" t="s">
        <v>98</v>
      </c>
      <c r="AJ238" s="70" t="s">
        <v>100</v>
      </c>
      <c r="AK238" s="70" t="s">
        <v>105</v>
      </c>
      <c r="AL238" s="15" t="s">
        <v>102</v>
      </c>
    </row>
    <row r="239" spans="34:38" x14ac:dyDescent="0.4">
      <c r="AH239" s="70" t="s">
        <v>101</v>
      </c>
      <c r="AI239" s="70" t="s">
        <v>98</v>
      </c>
      <c r="AJ239" s="70" t="s">
        <v>100</v>
      </c>
      <c r="AK239" s="70" t="s">
        <v>98</v>
      </c>
      <c r="AL239" s="15" t="s">
        <v>102</v>
      </c>
    </row>
    <row r="240" spans="34:38" x14ac:dyDescent="0.4">
      <c r="AH240" s="70" t="s">
        <v>101</v>
      </c>
      <c r="AI240" s="70" t="s">
        <v>98</v>
      </c>
      <c r="AJ240" s="70" t="s">
        <v>108</v>
      </c>
      <c r="AK240" s="70" t="s">
        <v>101</v>
      </c>
      <c r="AL240" s="15" t="s">
        <v>102</v>
      </c>
    </row>
    <row r="241" spans="34:38" x14ac:dyDescent="0.4">
      <c r="AH241" s="70" t="s">
        <v>101</v>
      </c>
      <c r="AI241" s="70" t="s">
        <v>98</v>
      </c>
      <c r="AJ241" s="70" t="s">
        <v>108</v>
      </c>
      <c r="AK241" s="70" t="s">
        <v>100</v>
      </c>
      <c r="AL241" s="15" t="s">
        <v>102</v>
      </c>
    </row>
    <row r="242" spans="34:38" x14ac:dyDescent="0.4">
      <c r="AH242" s="70" t="s">
        <v>101</v>
      </c>
      <c r="AI242" s="70" t="s">
        <v>98</v>
      </c>
      <c r="AJ242" s="70" t="s">
        <v>108</v>
      </c>
      <c r="AK242" s="70" t="s">
        <v>108</v>
      </c>
      <c r="AL242" s="15" t="s">
        <v>102</v>
      </c>
    </row>
    <row r="243" spans="34:38" x14ac:dyDescent="0.4">
      <c r="AH243" s="70" t="s">
        <v>101</v>
      </c>
      <c r="AI243" s="70" t="s">
        <v>98</v>
      </c>
      <c r="AJ243" s="70" t="s">
        <v>108</v>
      </c>
      <c r="AK243" s="70" t="s">
        <v>105</v>
      </c>
      <c r="AL243" s="15" t="s">
        <v>102</v>
      </c>
    </row>
    <row r="244" spans="34:38" x14ac:dyDescent="0.4">
      <c r="AH244" s="70" t="s">
        <v>101</v>
      </c>
      <c r="AI244" s="70" t="s">
        <v>98</v>
      </c>
      <c r="AJ244" s="70" t="s">
        <v>108</v>
      </c>
      <c r="AK244" s="70" t="s">
        <v>98</v>
      </c>
      <c r="AL244" s="15" t="s">
        <v>102</v>
      </c>
    </row>
    <row r="245" spans="34:38" x14ac:dyDescent="0.4">
      <c r="AH245" s="70" t="s">
        <v>101</v>
      </c>
      <c r="AI245" s="70" t="s">
        <v>98</v>
      </c>
      <c r="AJ245" s="70" t="s">
        <v>105</v>
      </c>
      <c r="AK245" s="70" t="s">
        <v>101</v>
      </c>
      <c r="AL245" s="15" t="s">
        <v>102</v>
      </c>
    </row>
    <row r="246" spans="34:38" x14ac:dyDescent="0.4">
      <c r="AH246" s="70" t="s">
        <v>101</v>
      </c>
      <c r="AI246" s="70" t="s">
        <v>98</v>
      </c>
      <c r="AJ246" s="70" t="s">
        <v>105</v>
      </c>
      <c r="AK246" s="70" t="s">
        <v>100</v>
      </c>
      <c r="AL246" s="15" t="s">
        <v>102</v>
      </c>
    </row>
    <row r="247" spans="34:38" x14ac:dyDescent="0.4">
      <c r="AH247" s="70" t="s">
        <v>101</v>
      </c>
      <c r="AI247" s="70" t="s">
        <v>98</v>
      </c>
      <c r="AJ247" s="70" t="s">
        <v>105</v>
      </c>
      <c r="AK247" s="70" t="s">
        <v>108</v>
      </c>
      <c r="AL247" s="15" t="s">
        <v>102</v>
      </c>
    </row>
    <row r="248" spans="34:38" x14ac:dyDescent="0.4">
      <c r="AH248" s="70" t="s">
        <v>101</v>
      </c>
      <c r="AI248" s="70" t="s">
        <v>98</v>
      </c>
      <c r="AJ248" s="70" t="s">
        <v>105</v>
      </c>
      <c r="AK248" s="70" t="s">
        <v>105</v>
      </c>
      <c r="AL248" s="15" t="s">
        <v>102</v>
      </c>
    </row>
    <row r="249" spans="34:38" x14ac:dyDescent="0.4">
      <c r="AH249" s="70" t="s">
        <v>101</v>
      </c>
      <c r="AI249" s="70" t="s">
        <v>98</v>
      </c>
      <c r="AJ249" s="70" t="s">
        <v>105</v>
      </c>
      <c r="AK249" s="70" t="s">
        <v>98</v>
      </c>
      <c r="AL249" s="15" t="s">
        <v>102</v>
      </c>
    </row>
    <row r="250" spans="34:38" x14ac:dyDescent="0.4">
      <c r="AH250" s="70" t="s">
        <v>101</v>
      </c>
      <c r="AI250" s="70" t="s">
        <v>98</v>
      </c>
      <c r="AJ250" s="70" t="s">
        <v>98</v>
      </c>
      <c r="AK250" s="70" t="s">
        <v>101</v>
      </c>
      <c r="AL250" s="15" t="s">
        <v>102</v>
      </c>
    </row>
    <row r="251" spans="34:38" x14ac:dyDescent="0.4">
      <c r="AH251" s="70" t="s">
        <v>101</v>
      </c>
      <c r="AI251" s="70" t="s">
        <v>98</v>
      </c>
      <c r="AJ251" s="70" t="s">
        <v>98</v>
      </c>
      <c r="AK251" s="70" t="s">
        <v>100</v>
      </c>
      <c r="AL251" s="15" t="s">
        <v>102</v>
      </c>
    </row>
    <row r="252" spans="34:38" x14ac:dyDescent="0.4">
      <c r="AH252" s="70" t="s">
        <v>101</v>
      </c>
      <c r="AI252" s="70" t="s">
        <v>98</v>
      </c>
      <c r="AJ252" s="70" t="s">
        <v>98</v>
      </c>
      <c r="AK252" s="70" t="s">
        <v>108</v>
      </c>
      <c r="AL252" s="15" t="s">
        <v>102</v>
      </c>
    </row>
    <row r="253" spans="34:38" x14ac:dyDescent="0.4">
      <c r="AH253" s="70" t="s">
        <v>101</v>
      </c>
      <c r="AI253" s="70" t="s">
        <v>98</v>
      </c>
      <c r="AJ253" s="70" t="s">
        <v>98</v>
      </c>
      <c r="AK253" s="70" t="s">
        <v>105</v>
      </c>
      <c r="AL253" s="15" t="s">
        <v>102</v>
      </c>
    </row>
    <row r="254" spans="34:38" x14ac:dyDescent="0.4">
      <c r="AH254" s="70" t="s">
        <v>101</v>
      </c>
      <c r="AI254" s="70" t="s">
        <v>98</v>
      </c>
      <c r="AJ254" s="70" t="s">
        <v>98</v>
      </c>
      <c r="AK254" s="70" t="s">
        <v>98</v>
      </c>
      <c r="AL254" s="15" t="s">
        <v>102</v>
      </c>
    </row>
    <row r="255" spans="34:38" x14ac:dyDescent="0.4">
      <c r="AH255" s="15" t="s">
        <v>108</v>
      </c>
      <c r="AI255" s="15" t="s">
        <v>101</v>
      </c>
      <c r="AJ255" s="15" t="s">
        <v>101</v>
      </c>
      <c r="AK255" s="15" t="s">
        <v>101</v>
      </c>
      <c r="AL255" s="15" t="s">
        <v>102</v>
      </c>
    </row>
    <row r="256" spans="34:38" x14ac:dyDescent="0.4">
      <c r="AH256" s="15" t="s">
        <v>108</v>
      </c>
      <c r="AI256" s="15" t="s">
        <v>101</v>
      </c>
      <c r="AJ256" s="15" t="s">
        <v>101</v>
      </c>
      <c r="AK256" s="15" t="s">
        <v>100</v>
      </c>
      <c r="AL256" s="15" t="s">
        <v>102</v>
      </c>
    </row>
    <row r="257" spans="34:38" x14ac:dyDescent="0.4">
      <c r="AH257" s="15" t="s">
        <v>108</v>
      </c>
      <c r="AI257" s="15" t="s">
        <v>101</v>
      </c>
      <c r="AJ257" s="15" t="s">
        <v>101</v>
      </c>
      <c r="AK257" s="15" t="s">
        <v>108</v>
      </c>
      <c r="AL257" s="15" t="s">
        <v>102</v>
      </c>
    </row>
    <row r="258" spans="34:38" x14ac:dyDescent="0.4">
      <c r="AH258" s="15" t="s">
        <v>108</v>
      </c>
      <c r="AI258" s="15" t="s">
        <v>101</v>
      </c>
      <c r="AJ258" s="15" t="s">
        <v>101</v>
      </c>
      <c r="AK258" s="15" t="s">
        <v>105</v>
      </c>
      <c r="AL258" s="15" t="s">
        <v>102</v>
      </c>
    </row>
    <row r="259" spans="34:38" x14ac:dyDescent="0.4">
      <c r="AH259" s="15" t="s">
        <v>108</v>
      </c>
      <c r="AI259" s="15" t="s">
        <v>101</v>
      </c>
      <c r="AJ259" s="15" t="s">
        <v>101</v>
      </c>
      <c r="AK259" s="15" t="s">
        <v>98</v>
      </c>
      <c r="AL259" s="15" t="s">
        <v>102</v>
      </c>
    </row>
    <row r="260" spans="34:38" x14ac:dyDescent="0.4">
      <c r="AH260" s="15" t="s">
        <v>108</v>
      </c>
      <c r="AI260" s="15" t="s">
        <v>101</v>
      </c>
      <c r="AJ260" s="15" t="s">
        <v>100</v>
      </c>
      <c r="AK260" s="15" t="s">
        <v>101</v>
      </c>
      <c r="AL260" s="15" t="s">
        <v>102</v>
      </c>
    </row>
    <row r="261" spans="34:38" x14ac:dyDescent="0.4">
      <c r="AH261" s="15" t="s">
        <v>108</v>
      </c>
      <c r="AI261" s="15" t="s">
        <v>101</v>
      </c>
      <c r="AJ261" s="15" t="s">
        <v>100</v>
      </c>
      <c r="AK261" s="15" t="s">
        <v>100</v>
      </c>
      <c r="AL261" s="15" t="s">
        <v>102</v>
      </c>
    </row>
    <row r="262" spans="34:38" x14ac:dyDescent="0.4">
      <c r="AH262" s="15" t="s">
        <v>108</v>
      </c>
      <c r="AI262" s="15" t="s">
        <v>101</v>
      </c>
      <c r="AJ262" s="15" t="s">
        <v>100</v>
      </c>
      <c r="AK262" s="15" t="s">
        <v>108</v>
      </c>
      <c r="AL262" s="15" t="s">
        <v>102</v>
      </c>
    </row>
    <row r="263" spans="34:38" x14ac:dyDescent="0.4">
      <c r="AH263" s="15" t="s">
        <v>108</v>
      </c>
      <c r="AI263" s="15" t="s">
        <v>101</v>
      </c>
      <c r="AJ263" s="15" t="s">
        <v>100</v>
      </c>
      <c r="AK263" s="15" t="s">
        <v>105</v>
      </c>
      <c r="AL263" s="15" t="s">
        <v>102</v>
      </c>
    </row>
    <row r="264" spans="34:38" x14ac:dyDescent="0.4">
      <c r="AH264" s="15" t="s">
        <v>108</v>
      </c>
      <c r="AI264" s="15" t="s">
        <v>101</v>
      </c>
      <c r="AJ264" s="15" t="s">
        <v>100</v>
      </c>
      <c r="AK264" s="15" t="s">
        <v>98</v>
      </c>
      <c r="AL264" s="15" t="s">
        <v>102</v>
      </c>
    </row>
    <row r="265" spans="34:38" x14ac:dyDescent="0.4">
      <c r="AH265" s="15" t="s">
        <v>108</v>
      </c>
      <c r="AI265" s="15" t="s">
        <v>101</v>
      </c>
      <c r="AJ265" s="15" t="s">
        <v>108</v>
      </c>
      <c r="AK265" s="15" t="s">
        <v>101</v>
      </c>
      <c r="AL265" s="15" t="s">
        <v>102</v>
      </c>
    </row>
    <row r="266" spans="34:38" x14ac:dyDescent="0.4">
      <c r="AH266" s="15" t="s">
        <v>108</v>
      </c>
      <c r="AI266" s="15" t="s">
        <v>101</v>
      </c>
      <c r="AJ266" s="15" t="s">
        <v>108</v>
      </c>
      <c r="AK266" s="15" t="s">
        <v>100</v>
      </c>
      <c r="AL266" s="15" t="s">
        <v>102</v>
      </c>
    </row>
    <row r="267" spans="34:38" x14ac:dyDescent="0.4">
      <c r="AH267" s="15" t="s">
        <v>108</v>
      </c>
      <c r="AI267" s="15" t="s">
        <v>101</v>
      </c>
      <c r="AJ267" s="15" t="s">
        <v>108</v>
      </c>
      <c r="AK267" s="15" t="s">
        <v>108</v>
      </c>
      <c r="AL267" s="15" t="s">
        <v>102</v>
      </c>
    </row>
    <row r="268" spans="34:38" x14ac:dyDescent="0.4">
      <c r="AH268" s="15" t="s">
        <v>108</v>
      </c>
      <c r="AI268" s="15" t="s">
        <v>101</v>
      </c>
      <c r="AJ268" s="15" t="s">
        <v>108</v>
      </c>
      <c r="AK268" s="15" t="s">
        <v>105</v>
      </c>
      <c r="AL268" s="15" t="s">
        <v>102</v>
      </c>
    </row>
    <row r="269" spans="34:38" x14ac:dyDescent="0.4">
      <c r="AH269" s="15" t="s">
        <v>108</v>
      </c>
      <c r="AI269" s="15" t="s">
        <v>101</v>
      </c>
      <c r="AJ269" s="15" t="s">
        <v>108</v>
      </c>
      <c r="AK269" s="15" t="s">
        <v>98</v>
      </c>
      <c r="AL269" s="15" t="s">
        <v>102</v>
      </c>
    </row>
    <row r="270" spans="34:38" x14ac:dyDescent="0.4">
      <c r="AH270" s="15" t="s">
        <v>108</v>
      </c>
      <c r="AI270" s="15" t="s">
        <v>101</v>
      </c>
      <c r="AJ270" s="15" t="s">
        <v>105</v>
      </c>
      <c r="AK270" s="15" t="s">
        <v>101</v>
      </c>
      <c r="AL270" s="15" t="s">
        <v>102</v>
      </c>
    </row>
    <row r="271" spans="34:38" x14ac:dyDescent="0.4">
      <c r="AH271" s="15" t="s">
        <v>108</v>
      </c>
      <c r="AI271" s="15" t="s">
        <v>101</v>
      </c>
      <c r="AJ271" s="15" t="s">
        <v>105</v>
      </c>
      <c r="AK271" s="15" t="s">
        <v>100</v>
      </c>
      <c r="AL271" s="15" t="s">
        <v>102</v>
      </c>
    </row>
    <row r="272" spans="34:38" x14ac:dyDescent="0.4">
      <c r="AH272" s="15" t="s">
        <v>108</v>
      </c>
      <c r="AI272" s="15" t="s">
        <v>101</v>
      </c>
      <c r="AJ272" s="15" t="s">
        <v>105</v>
      </c>
      <c r="AK272" s="15" t="s">
        <v>108</v>
      </c>
      <c r="AL272" s="15" t="s">
        <v>102</v>
      </c>
    </row>
    <row r="273" spans="34:38" x14ac:dyDescent="0.4">
      <c r="AH273" s="15" t="s">
        <v>108</v>
      </c>
      <c r="AI273" s="15" t="s">
        <v>101</v>
      </c>
      <c r="AJ273" s="15" t="s">
        <v>105</v>
      </c>
      <c r="AK273" s="15" t="s">
        <v>105</v>
      </c>
      <c r="AL273" s="15" t="s">
        <v>102</v>
      </c>
    </row>
    <row r="274" spans="34:38" x14ac:dyDescent="0.4">
      <c r="AH274" s="15" t="s">
        <v>108</v>
      </c>
      <c r="AI274" s="15" t="s">
        <v>101</v>
      </c>
      <c r="AJ274" s="15" t="s">
        <v>105</v>
      </c>
      <c r="AK274" s="15" t="s">
        <v>98</v>
      </c>
      <c r="AL274" s="15" t="s">
        <v>102</v>
      </c>
    </row>
    <row r="275" spans="34:38" x14ac:dyDescent="0.4">
      <c r="AH275" s="15" t="s">
        <v>108</v>
      </c>
      <c r="AI275" s="15" t="s">
        <v>101</v>
      </c>
      <c r="AJ275" s="15" t="s">
        <v>98</v>
      </c>
      <c r="AK275" s="15" t="s">
        <v>101</v>
      </c>
      <c r="AL275" s="15" t="s">
        <v>102</v>
      </c>
    </row>
    <row r="276" spans="34:38" x14ac:dyDescent="0.4">
      <c r="AH276" s="15" t="s">
        <v>108</v>
      </c>
      <c r="AI276" s="15" t="s">
        <v>101</v>
      </c>
      <c r="AJ276" s="15" t="s">
        <v>98</v>
      </c>
      <c r="AK276" s="15" t="s">
        <v>100</v>
      </c>
      <c r="AL276" s="15" t="s">
        <v>102</v>
      </c>
    </row>
    <row r="277" spans="34:38" x14ac:dyDescent="0.4">
      <c r="AH277" s="15" t="s">
        <v>108</v>
      </c>
      <c r="AI277" s="15" t="s">
        <v>101</v>
      </c>
      <c r="AJ277" s="15" t="s">
        <v>98</v>
      </c>
      <c r="AK277" s="15" t="s">
        <v>108</v>
      </c>
      <c r="AL277" s="15" t="s">
        <v>102</v>
      </c>
    </row>
    <row r="278" spans="34:38" x14ac:dyDescent="0.4">
      <c r="AH278" s="15" t="s">
        <v>108</v>
      </c>
      <c r="AI278" s="15" t="s">
        <v>101</v>
      </c>
      <c r="AJ278" s="15" t="s">
        <v>98</v>
      </c>
      <c r="AK278" s="15" t="s">
        <v>105</v>
      </c>
      <c r="AL278" s="15" t="s">
        <v>102</v>
      </c>
    </row>
    <row r="279" spans="34:38" x14ac:dyDescent="0.4">
      <c r="AH279" s="15" t="s">
        <v>108</v>
      </c>
      <c r="AI279" s="15" t="s">
        <v>101</v>
      </c>
      <c r="AJ279" s="15" t="s">
        <v>98</v>
      </c>
      <c r="AK279" s="15" t="s">
        <v>98</v>
      </c>
      <c r="AL279" s="15" t="s">
        <v>102</v>
      </c>
    </row>
    <row r="280" spans="34:38" x14ac:dyDescent="0.4">
      <c r="AH280" s="15" t="s">
        <v>108</v>
      </c>
      <c r="AI280" s="15" t="s">
        <v>100</v>
      </c>
      <c r="AJ280" s="15" t="s">
        <v>101</v>
      </c>
      <c r="AK280" s="15" t="s">
        <v>101</v>
      </c>
      <c r="AL280" s="15" t="s">
        <v>102</v>
      </c>
    </row>
    <row r="281" spans="34:38" x14ac:dyDescent="0.4">
      <c r="AH281" s="15" t="s">
        <v>108</v>
      </c>
      <c r="AI281" s="15" t="s">
        <v>100</v>
      </c>
      <c r="AJ281" s="15" t="s">
        <v>101</v>
      </c>
      <c r="AK281" s="15" t="s">
        <v>100</v>
      </c>
      <c r="AL281" s="15" t="s">
        <v>102</v>
      </c>
    </row>
    <row r="282" spans="34:38" x14ac:dyDescent="0.4">
      <c r="AH282" s="15" t="s">
        <v>108</v>
      </c>
      <c r="AI282" s="15" t="s">
        <v>100</v>
      </c>
      <c r="AJ282" s="15" t="s">
        <v>101</v>
      </c>
      <c r="AK282" s="15" t="s">
        <v>108</v>
      </c>
      <c r="AL282" s="15" t="s">
        <v>102</v>
      </c>
    </row>
    <row r="283" spans="34:38" x14ac:dyDescent="0.4">
      <c r="AH283" s="15" t="s">
        <v>108</v>
      </c>
      <c r="AI283" s="15" t="s">
        <v>100</v>
      </c>
      <c r="AJ283" s="15" t="s">
        <v>101</v>
      </c>
      <c r="AK283" s="15" t="s">
        <v>105</v>
      </c>
      <c r="AL283" s="15" t="s">
        <v>102</v>
      </c>
    </row>
    <row r="284" spans="34:38" x14ac:dyDescent="0.4">
      <c r="AH284" s="15" t="s">
        <v>108</v>
      </c>
      <c r="AI284" s="15" t="s">
        <v>100</v>
      </c>
      <c r="AJ284" s="15" t="s">
        <v>101</v>
      </c>
      <c r="AK284" s="15" t="s">
        <v>98</v>
      </c>
      <c r="AL284" s="15" t="s">
        <v>102</v>
      </c>
    </row>
    <row r="285" spans="34:38" x14ac:dyDescent="0.4">
      <c r="AH285" s="15" t="s">
        <v>108</v>
      </c>
      <c r="AI285" s="15" t="s">
        <v>100</v>
      </c>
      <c r="AJ285" s="15" t="s">
        <v>100</v>
      </c>
      <c r="AK285" s="15" t="s">
        <v>101</v>
      </c>
      <c r="AL285" s="15" t="s">
        <v>102</v>
      </c>
    </row>
    <row r="286" spans="34:38" x14ac:dyDescent="0.4">
      <c r="AH286" s="15" t="s">
        <v>108</v>
      </c>
      <c r="AI286" s="15" t="s">
        <v>100</v>
      </c>
      <c r="AJ286" s="15" t="s">
        <v>100</v>
      </c>
      <c r="AK286" s="15" t="s">
        <v>100</v>
      </c>
      <c r="AL286" s="15" t="s">
        <v>102</v>
      </c>
    </row>
    <row r="287" spans="34:38" x14ac:dyDescent="0.4">
      <c r="AH287" s="15" t="s">
        <v>108</v>
      </c>
      <c r="AI287" s="15" t="s">
        <v>100</v>
      </c>
      <c r="AJ287" s="15" t="s">
        <v>100</v>
      </c>
      <c r="AK287" s="15" t="s">
        <v>108</v>
      </c>
      <c r="AL287" s="15" t="s">
        <v>102</v>
      </c>
    </row>
    <row r="288" spans="34:38" x14ac:dyDescent="0.4">
      <c r="AH288" s="15" t="s">
        <v>108</v>
      </c>
      <c r="AI288" s="15" t="s">
        <v>100</v>
      </c>
      <c r="AJ288" s="15" t="s">
        <v>100</v>
      </c>
      <c r="AK288" s="15" t="s">
        <v>105</v>
      </c>
      <c r="AL288" s="15" t="s">
        <v>102</v>
      </c>
    </row>
    <row r="289" spans="34:38" x14ac:dyDescent="0.4">
      <c r="AH289" s="15" t="s">
        <v>108</v>
      </c>
      <c r="AI289" s="15" t="s">
        <v>100</v>
      </c>
      <c r="AJ289" s="15" t="s">
        <v>100</v>
      </c>
      <c r="AK289" s="15" t="s">
        <v>98</v>
      </c>
      <c r="AL289" s="15" t="s">
        <v>102</v>
      </c>
    </row>
    <row r="290" spans="34:38" x14ac:dyDescent="0.4">
      <c r="AH290" s="15" t="s">
        <v>108</v>
      </c>
      <c r="AI290" s="15" t="s">
        <v>100</v>
      </c>
      <c r="AJ290" s="15" t="s">
        <v>108</v>
      </c>
      <c r="AK290" s="15" t="s">
        <v>101</v>
      </c>
      <c r="AL290" s="15" t="s">
        <v>102</v>
      </c>
    </row>
    <row r="291" spans="34:38" x14ac:dyDescent="0.4">
      <c r="AH291" s="15" t="s">
        <v>108</v>
      </c>
      <c r="AI291" s="15" t="s">
        <v>100</v>
      </c>
      <c r="AJ291" s="15" t="s">
        <v>108</v>
      </c>
      <c r="AK291" s="15" t="s">
        <v>100</v>
      </c>
      <c r="AL291" s="15" t="s">
        <v>102</v>
      </c>
    </row>
    <row r="292" spans="34:38" x14ac:dyDescent="0.4">
      <c r="AH292" s="15" t="s">
        <v>108</v>
      </c>
      <c r="AI292" s="15" t="s">
        <v>100</v>
      </c>
      <c r="AJ292" s="15" t="s">
        <v>108</v>
      </c>
      <c r="AK292" s="15" t="s">
        <v>108</v>
      </c>
      <c r="AL292" s="15" t="s">
        <v>102</v>
      </c>
    </row>
    <row r="293" spans="34:38" x14ac:dyDescent="0.4">
      <c r="AH293" s="15" t="s">
        <v>108</v>
      </c>
      <c r="AI293" s="15" t="s">
        <v>100</v>
      </c>
      <c r="AJ293" s="15" t="s">
        <v>108</v>
      </c>
      <c r="AK293" s="15" t="s">
        <v>105</v>
      </c>
      <c r="AL293" s="15" t="s">
        <v>102</v>
      </c>
    </row>
    <row r="294" spans="34:38" x14ac:dyDescent="0.4">
      <c r="AH294" s="15" t="s">
        <v>108</v>
      </c>
      <c r="AI294" s="15" t="s">
        <v>100</v>
      </c>
      <c r="AJ294" s="15" t="s">
        <v>108</v>
      </c>
      <c r="AK294" s="15" t="s">
        <v>98</v>
      </c>
      <c r="AL294" s="15" t="s">
        <v>102</v>
      </c>
    </row>
    <row r="295" spans="34:38" x14ac:dyDescent="0.4">
      <c r="AH295" s="15" t="s">
        <v>108</v>
      </c>
      <c r="AI295" s="15" t="s">
        <v>100</v>
      </c>
      <c r="AJ295" s="15" t="s">
        <v>105</v>
      </c>
      <c r="AK295" s="15" t="s">
        <v>101</v>
      </c>
      <c r="AL295" s="15" t="s">
        <v>102</v>
      </c>
    </row>
    <row r="296" spans="34:38" x14ac:dyDescent="0.4">
      <c r="AH296" s="15" t="s">
        <v>108</v>
      </c>
      <c r="AI296" s="15" t="s">
        <v>100</v>
      </c>
      <c r="AJ296" s="15" t="s">
        <v>105</v>
      </c>
      <c r="AK296" s="15" t="s">
        <v>100</v>
      </c>
      <c r="AL296" s="15" t="s">
        <v>102</v>
      </c>
    </row>
    <row r="297" spans="34:38" x14ac:dyDescent="0.4">
      <c r="AH297" s="15" t="s">
        <v>108</v>
      </c>
      <c r="AI297" s="15" t="s">
        <v>100</v>
      </c>
      <c r="AJ297" s="15" t="s">
        <v>105</v>
      </c>
      <c r="AK297" s="15" t="s">
        <v>108</v>
      </c>
      <c r="AL297" s="15" t="s">
        <v>102</v>
      </c>
    </row>
    <row r="298" spans="34:38" x14ac:dyDescent="0.4">
      <c r="AH298" s="15" t="s">
        <v>108</v>
      </c>
      <c r="AI298" s="15" t="s">
        <v>100</v>
      </c>
      <c r="AJ298" s="15" t="s">
        <v>105</v>
      </c>
      <c r="AK298" s="15" t="s">
        <v>105</v>
      </c>
      <c r="AL298" s="15" t="s">
        <v>102</v>
      </c>
    </row>
    <row r="299" spans="34:38" x14ac:dyDescent="0.4">
      <c r="AH299" s="15" t="s">
        <v>108</v>
      </c>
      <c r="AI299" s="15" t="s">
        <v>100</v>
      </c>
      <c r="AJ299" s="15" t="s">
        <v>105</v>
      </c>
      <c r="AK299" s="15" t="s">
        <v>98</v>
      </c>
      <c r="AL299" s="15" t="s">
        <v>102</v>
      </c>
    </row>
    <row r="300" spans="34:38" x14ac:dyDescent="0.4">
      <c r="AH300" s="15" t="s">
        <v>108</v>
      </c>
      <c r="AI300" s="15" t="s">
        <v>100</v>
      </c>
      <c r="AJ300" s="15" t="s">
        <v>98</v>
      </c>
      <c r="AK300" s="15" t="s">
        <v>101</v>
      </c>
      <c r="AL300" s="15" t="s">
        <v>102</v>
      </c>
    </row>
    <row r="301" spans="34:38" x14ac:dyDescent="0.4">
      <c r="AH301" s="15" t="s">
        <v>108</v>
      </c>
      <c r="AI301" s="15" t="s">
        <v>100</v>
      </c>
      <c r="AJ301" s="15" t="s">
        <v>98</v>
      </c>
      <c r="AK301" s="15" t="s">
        <v>100</v>
      </c>
      <c r="AL301" s="15" t="s">
        <v>102</v>
      </c>
    </row>
    <row r="302" spans="34:38" x14ac:dyDescent="0.4">
      <c r="AH302" s="15" t="s">
        <v>108</v>
      </c>
      <c r="AI302" s="15" t="s">
        <v>100</v>
      </c>
      <c r="AJ302" s="15" t="s">
        <v>98</v>
      </c>
      <c r="AK302" s="15" t="s">
        <v>108</v>
      </c>
      <c r="AL302" s="15" t="s">
        <v>102</v>
      </c>
    </row>
    <row r="303" spans="34:38" x14ac:dyDescent="0.4">
      <c r="AH303" s="15" t="s">
        <v>108</v>
      </c>
      <c r="AI303" s="15" t="s">
        <v>100</v>
      </c>
      <c r="AJ303" s="15" t="s">
        <v>98</v>
      </c>
      <c r="AK303" s="15" t="s">
        <v>105</v>
      </c>
      <c r="AL303" s="15" t="s">
        <v>102</v>
      </c>
    </row>
    <row r="304" spans="34:38" x14ac:dyDescent="0.4">
      <c r="AH304" s="15" t="s">
        <v>108</v>
      </c>
      <c r="AI304" s="15" t="s">
        <v>100</v>
      </c>
      <c r="AJ304" s="15" t="s">
        <v>98</v>
      </c>
      <c r="AK304" s="15" t="s">
        <v>98</v>
      </c>
      <c r="AL304" s="15" t="s">
        <v>102</v>
      </c>
    </row>
    <row r="305" spans="34:38" x14ac:dyDescent="0.4">
      <c r="AH305" s="15" t="s">
        <v>108</v>
      </c>
      <c r="AI305" s="15" t="s">
        <v>108</v>
      </c>
      <c r="AJ305" s="15" t="s">
        <v>101</v>
      </c>
      <c r="AK305" s="15" t="s">
        <v>101</v>
      </c>
      <c r="AL305" s="15" t="s">
        <v>102</v>
      </c>
    </row>
    <row r="306" spans="34:38" x14ac:dyDescent="0.4">
      <c r="AH306" s="15" t="s">
        <v>108</v>
      </c>
      <c r="AI306" s="15" t="s">
        <v>108</v>
      </c>
      <c r="AJ306" s="15" t="s">
        <v>101</v>
      </c>
      <c r="AK306" s="15" t="s">
        <v>100</v>
      </c>
      <c r="AL306" s="15" t="s">
        <v>102</v>
      </c>
    </row>
    <row r="307" spans="34:38" x14ac:dyDescent="0.4">
      <c r="AH307" s="15" t="s">
        <v>108</v>
      </c>
      <c r="AI307" s="15" t="s">
        <v>108</v>
      </c>
      <c r="AJ307" s="15" t="s">
        <v>101</v>
      </c>
      <c r="AK307" s="15" t="s">
        <v>108</v>
      </c>
      <c r="AL307" s="15" t="s">
        <v>102</v>
      </c>
    </row>
    <row r="308" spans="34:38" x14ac:dyDescent="0.4">
      <c r="AH308" s="15" t="s">
        <v>108</v>
      </c>
      <c r="AI308" s="15" t="s">
        <v>108</v>
      </c>
      <c r="AJ308" s="15" t="s">
        <v>101</v>
      </c>
      <c r="AK308" s="15" t="s">
        <v>105</v>
      </c>
      <c r="AL308" s="15" t="s">
        <v>102</v>
      </c>
    </row>
    <row r="309" spans="34:38" x14ac:dyDescent="0.4">
      <c r="AH309" s="15" t="s">
        <v>108</v>
      </c>
      <c r="AI309" s="15" t="s">
        <v>108</v>
      </c>
      <c r="AJ309" s="15" t="s">
        <v>101</v>
      </c>
      <c r="AK309" s="15" t="s">
        <v>98</v>
      </c>
      <c r="AL309" s="15" t="s">
        <v>102</v>
      </c>
    </row>
    <row r="310" spans="34:38" x14ac:dyDescent="0.4">
      <c r="AH310" s="15" t="s">
        <v>108</v>
      </c>
      <c r="AI310" s="15" t="s">
        <v>108</v>
      </c>
      <c r="AJ310" s="15" t="s">
        <v>100</v>
      </c>
      <c r="AK310" s="15" t="s">
        <v>101</v>
      </c>
      <c r="AL310" s="15" t="s">
        <v>102</v>
      </c>
    </row>
    <row r="311" spans="34:38" x14ac:dyDescent="0.4">
      <c r="AH311" s="15" t="s">
        <v>108</v>
      </c>
      <c r="AI311" s="15" t="s">
        <v>108</v>
      </c>
      <c r="AJ311" s="15" t="s">
        <v>100</v>
      </c>
      <c r="AK311" s="15" t="s">
        <v>100</v>
      </c>
      <c r="AL311" s="15" t="s">
        <v>102</v>
      </c>
    </row>
    <row r="312" spans="34:38" x14ac:dyDescent="0.4">
      <c r="AH312" s="15" t="s">
        <v>108</v>
      </c>
      <c r="AI312" s="15" t="s">
        <v>108</v>
      </c>
      <c r="AJ312" s="15" t="s">
        <v>100</v>
      </c>
      <c r="AK312" s="15" t="s">
        <v>108</v>
      </c>
      <c r="AL312" s="15" t="s">
        <v>102</v>
      </c>
    </row>
    <row r="313" spans="34:38" x14ac:dyDescent="0.4">
      <c r="AH313" s="15" t="s">
        <v>108</v>
      </c>
      <c r="AI313" s="15" t="s">
        <v>108</v>
      </c>
      <c r="AJ313" s="15" t="s">
        <v>100</v>
      </c>
      <c r="AK313" s="15" t="s">
        <v>105</v>
      </c>
      <c r="AL313" s="15" t="s">
        <v>102</v>
      </c>
    </row>
    <row r="314" spans="34:38" x14ac:dyDescent="0.4">
      <c r="AH314" s="15" t="s">
        <v>108</v>
      </c>
      <c r="AI314" s="15" t="s">
        <v>108</v>
      </c>
      <c r="AJ314" s="15" t="s">
        <v>100</v>
      </c>
      <c r="AK314" s="15" t="s">
        <v>98</v>
      </c>
      <c r="AL314" s="15" t="s">
        <v>102</v>
      </c>
    </row>
    <row r="315" spans="34:38" x14ac:dyDescent="0.4">
      <c r="AH315" s="15" t="s">
        <v>108</v>
      </c>
      <c r="AI315" s="15" t="s">
        <v>108</v>
      </c>
      <c r="AJ315" s="15" t="s">
        <v>108</v>
      </c>
      <c r="AK315" s="15" t="s">
        <v>101</v>
      </c>
      <c r="AL315" s="15" t="s">
        <v>102</v>
      </c>
    </row>
    <row r="316" spans="34:38" x14ac:dyDescent="0.4">
      <c r="AH316" s="15" t="s">
        <v>108</v>
      </c>
      <c r="AI316" s="15" t="s">
        <v>108</v>
      </c>
      <c r="AJ316" s="15" t="s">
        <v>108</v>
      </c>
      <c r="AK316" s="15" t="s">
        <v>100</v>
      </c>
      <c r="AL316" s="15" t="s">
        <v>102</v>
      </c>
    </row>
    <row r="317" spans="34:38" x14ac:dyDescent="0.4">
      <c r="AH317" s="15" t="s">
        <v>108</v>
      </c>
      <c r="AI317" s="15" t="s">
        <v>108</v>
      </c>
      <c r="AJ317" s="15" t="s">
        <v>108</v>
      </c>
      <c r="AK317" s="15" t="s">
        <v>108</v>
      </c>
      <c r="AL317" s="15" t="s">
        <v>133</v>
      </c>
    </row>
    <row r="318" spans="34:38" x14ac:dyDescent="0.4">
      <c r="AH318" s="15" t="s">
        <v>108</v>
      </c>
      <c r="AI318" s="15" t="s">
        <v>108</v>
      </c>
      <c r="AJ318" s="15" t="s">
        <v>108</v>
      </c>
      <c r="AK318" s="15" t="s">
        <v>105</v>
      </c>
      <c r="AL318" s="15" t="s">
        <v>133</v>
      </c>
    </row>
    <row r="319" spans="34:38" x14ac:dyDescent="0.4">
      <c r="AH319" s="15" t="s">
        <v>108</v>
      </c>
      <c r="AI319" s="15" t="s">
        <v>108</v>
      </c>
      <c r="AJ319" s="15" t="s">
        <v>108</v>
      </c>
      <c r="AK319" s="15" t="s">
        <v>98</v>
      </c>
      <c r="AL319" s="15" t="s">
        <v>133</v>
      </c>
    </row>
    <row r="320" spans="34:38" x14ac:dyDescent="0.4">
      <c r="AH320" s="15" t="s">
        <v>108</v>
      </c>
      <c r="AI320" s="15" t="s">
        <v>108</v>
      </c>
      <c r="AJ320" s="15" t="s">
        <v>105</v>
      </c>
      <c r="AK320" s="15" t="s">
        <v>101</v>
      </c>
      <c r="AL320" s="15" t="s">
        <v>102</v>
      </c>
    </row>
    <row r="321" spans="34:38" x14ac:dyDescent="0.4">
      <c r="AH321" s="15" t="s">
        <v>108</v>
      </c>
      <c r="AI321" s="15" t="s">
        <v>108</v>
      </c>
      <c r="AJ321" s="15" t="s">
        <v>105</v>
      </c>
      <c r="AK321" s="15" t="s">
        <v>100</v>
      </c>
      <c r="AL321" s="15" t="s">
        <v>102</v>
      </c>
    </row>
    <row r="322" spans="34:38" x14ac:dyDescent="0.4">
      <c r="AH322" s="15" t="s">
        <v>108</v>
      </c>
      <c r="AI322" s="15" t="s">
        <v>108</v>
      </c>
      <c r="AJ322" s="15" t="s">
        <v>105</v>
      </c>
      <c r="AK322" s="15" t="s">
        <v>108</v>
      </c>
      <c r="AL322" s="15" t="s">
        <v>133</v>
      </c>
    </row>
    <row r="323" spans="34:38" x14ac:dyDescent="0.4">
      <c r="AH323" s="15" t="s">
        <v>108</v>
      </c>
      <c r="AI323" s="15" t="s">
        <v>108</v>
      </c>
      <c r="AJ323" s="15" t="s">
        <v>105</v>
      </c>
      <c r="AK323" s="15" t="s">
        <v>105</v>
      </c>
      <c r="AL323" s="15" t="s">
        <v>133</v>
      </c>
    </row>
    <row r="324" spans="34:38" x14ac:dyDescent="0.4">
      <c r="AH324" s="15" t="s">
        <v>108</v>
      </c>
      <c r="AI324" s="15" t="s">
        <v>108</v>
      </c>
      <c r="AJ324" s="15" t="s">
        <v>105</v>
      </c>
      <c r="AK324" s="15" t="s">
        <v>98</v>
      </c>
      <c r="AL324" s="15" t="s">
        <v>133</v>
      </c>
    </row>
    <row r="325" spans="34:38" x14ac:dyDescent="0.4">
      <c r="AH325" s="15" t="s">
        <v>108</v>
      </c>
      <c r="AI325" s="15" t="s">
        <v>108</v>
      </c>
      <c r="AJ325" s="15" t="s">
        <v>98</v>
      </c>
      <c r="AK325" s="15" t="s">
        <v>101</v>
      </c>
      <c r="AL325" s="15" t="s">
        <v>102</v>
      </c>
    </row>
    <row r="326" spans="34:38" x14ac:dyDescent="0.4">
      <c r="AH326" s="15" t="s">
        <v>108</v>
      </c>
      <c r="AI326" s="15" t="s">
        <v>108</v>
      </c>
      <c r="AJ326" s="15" t="s">
        <v>98</v>
      </c>
      <c r="AK326" s="15" t="s">
        <v>100</v>
      </c>
      <c r="AL326" s="15" t="s">
        <v>102</v>
      </c>
    </row>
    <row r="327" spans="34:38" x14ac:dyDescent="0.4">
      <c r="AH327" s="15" t="s">
        <v>108</v>
      </c>
      <c r="AI327" s="15" t="s">
        <v>108</v>
      </c>
      <c r="AJ327" s="15" t="s">
        <v>98</v>
      </c>
      <c r="AK327" s="15" t="s">
        <v>108</v>
      </c>
      <c r="AL327" s="15" t="s">
        <v>133</v>
      </c>
    </row>
    <row r="328" spans="34:38" x14ac:dyDescent="0.4">
      <c r="AH328" s="15" t="s">
        <v>108</v>
      </c>
      <c r="AI328" s="15" t="s">
        <v>108</v>
      </c>
      <c r="AJ328" s="15" t="s">
        <v>98</v>
      </c>
      <c r="AK328" s="15" t="s">
        <v>105</v>
      </c>
      <c r="AL328" s="15" t="s">
        <v>133</v>
      </c>
    </row>
    <row r="329" spans="34:38" x14ac:dyDescent="0.4">
      <c r="AH329" s="15" t="s">
        <v>108</v>
      </c>
      <c r="AI329" s="15" t="s">
        <v>108</v>
      </c>
      <c r="AJ329" s="15" t="s">
        <v>98</v>
      </c>
      <c r="AK329" s="15" t="s">
        <v>98</v>
      </c>
      <c r="AL329" s="15" t="s">
        <v>133</v>
      </c>
    </row>
    <row r="330" spans="34:38" x14ac:dyDescent="0.4">
      <c r="AH330" s="15" t="s">
        <v>108</v>
      </c>
      <c r="AI330" s="15" t="s">
        <v>105</v>
      </c>
      <c r="AJ330" s="15" t="s">
        <v>101</v>
      </c>
      <c r="AK330" s="15" t="s">
        <v>101</v>
      </c>
      <c r="AL330" s="15" t="s">
        <v>102</v>
      </c>
    </row>
    <row r="331" spans="34:38" x14ac:dyDescent="0.4">
      <c r="AH331" s="15" t="s">
        <v>108</v>
      </c>
      <c r="AI331" s="15" t="s">
        <v>105</v>
      </c>
      <c r="AJ331" s="15" t="s">
        <v>101</v>
      </c>
      <c r="AK331" s="15" t="s">
        <v>100</v>
      </c>
      <c r="AL331" s="15" t="s">
        <v>102</v>
      </c>
    </row>
    <row r="332" spans="34:38" x14ac:dyDescent="0.4">
      <c r="AH332" s="15" t="s">
        <v>108</v>
      </c>
      <c r="AI332" s="15" t="s">
        <v>105</v>
      </c>
      <c r="AJ332" s="15" t="s">
        <v>101</v>
      </c>
      <c r="AK332" s="15" t="s">
        <v>108</v>
      </c>
      <c r="AL332" s="15" t="s">
        <v>102</v>
      </c>
    </row>
    <row r="333" spans="34:38" x14ac:dyDescent="0.4">
      <c r="AH333" s="15" t="s">
        <v>108</v>
      </c>
      <c r="AI333" s="15" t="s">
        <v>105</v>
      </c>
      <c r="AJ333" s="15" t="s">
        <v>101</v>
      </c>
      <c r="AK333" s="15" t="s">
        <v>105</v>
      </c>
      <c r="AL333" s="15" t="s">
        <v>102</v>
      </c>
    </row>
    <row r="334" spans="34:38" x14ac:dyDescent="0.4">
      <c r="AH334" s="15" t="s">
        <v>108</v>
      </c>
      <c r="AI334" s="15" t="s">
        <v>105</v>
      </c>
      <c r="AJ334" s="15" t="s">
        <v>101</v>
      </c>
      <c r="AK334" s="15" t="s">
        <v>98</v>
      </c>
      <c r="AL334" s="15" t="s">
        <v>102</v>
      </c>
    </row>
    <row r="335" spans="34:38" x14ac:dyDescent="0.4">
      <c r="AH335" s="15" t="s">
        <v>108</v>
      </c>
      <c r="AI335" s="15" t="s">
        <v>105</v>
      </c>
      <c r="AJ335" s="15" t="s">
        <v>100</v>
      </c>
      <c r="AK335" s="15" t="s">
        <v>101</v>
      </c>
      <c r="AL335" s="15" t="s">
        <v>102</v>
      </c>
    </row>
    <row r="336" spans="34:38" x14ac:dyDescent="0.4">
      <c r="AH336" s="15" t="s">
        <v>108</v>
      </c>
      <c r="AI336" s="15" t="s">
        <v>105</v>
      </c>
      <c r="AJ336" s="15" t="s">
        <v>100</v>
      </c>
      <c r="AK336" s="15" t="s">
        <v>100</v>
      </c>
      <c r="AL336" s="15" t="s">
        <v>102</v>
      </c>
    </row>
    <row r="337" spans="34:38" x14ac:dyDescent="0.4">
      <c r="AH337" s="15" t="s">
        <v>108</v>
      </c>
      <c r="AI337" s="15" t="s">
        <v>105</v>
      </c>
      <c r="AJ337" s="15" t="s">
        <v>100</v>
      </c>
      <c r="AK337" s="15" t="s">
        <v>108</v>
      </c>
      <c r="AL337" s="15" t="s">
        <v>102</v>
      </c>
    </row>
    <row r="338" spans="34:38" x14ac:dyDescent="0.4">
      <c r="AH338" s="15" t="s">
        <v>108</v>
      </c>
      <c r="AI338" s="15" t="s">
        <v>105</v>
      </c>
      <c r="AJ338" s="15" t="s">
        <v>100</v>
      </c>
      <c r="AK338" s="15" t="s">
        <v>105</v>
      </c>
      <c r="AL338" s="15" t="s">
        <v>102</v>
      </c>
    </row>
    <row r="339" spans="34:38" x14ac:dyDescent="0.4">
      <c r="AH339" s="15" t="s">
        <v>108</v>
      </c>
      <c r="AI339" s="15" t="s">
        <v>105</v>
      </c>
      <c r="AJ339" s="15" t="s">
        <v>100</v>
      </c>
      <c r="AK339" s="15" t="s">
        <v>98</v>
      </c>
      <c r="AL339" s="15" t="s">
        <v>102</v>
      </c>
    </row>
    <row r="340" spans="34:38" x14ac:dyDescent="0.4">
      <c r="AH340" s="15" t="s">
        <v>108</v>
      </c>
      <c r="AI340" s="15" t="s">
        <v>105</v>
      </c>
      <c r="AJ340" s="15" t="s">
        <v>108</v>
      </c>
      <c r="AK340" s="15" t="s">
        <v>101</v>
      </c>
      <c r="AL340" s="15" t="s">
        <v>102</v>
      </c>
    </row>
    <row r="341" spans="34:38" x14ac:dyDescent="0.4">
      <c r="AH341" s="15" t="s">
        <v>108</v>
      </c>
      <c r="AI341" s="15" t="s">
        <v>105</v>
      </c>
      <c r="AJ341" s="15" t="s">
        <v>108</v>
      </c>
      <c r="AK341" s="15" t="s">
        <v>100</v>
      </c>
      <c r="AL341" s="15" t="s">
        <v>102</v>
      </c>
    </row>
    <row r="342" spans="34:38" x14ac:dyDescent="0.4">
      <c r="AH342" s="15" t="s">
        <v>108</v>
      </c>
      <c r="AI342" s="15" t="s">
        <v>105</v>
      </c>
      <c r="AJ342" s="15" t="s">
        <v>108</v>
      </c>
      <c r="AK342" s="15" t="s">
        <v>108</v>
      </c>
      <c r="AL342" s="15" t="s">
        <v>133</v>
      </c>
    </row>
    <row r="343" spans="34:38" x14ac:dyDescent="0.4">
      <c r="AH343" s="15" t="s">
        <v>108</v>
      </c>
      <c r="AI343" s="15" t="s">
        <v>105</v>
      </c>
      <c r="AJ343" s="15" t="s">
        <v>108</v>
      </c>
      <c r="AK343" s="15" t="s">
        <v>105</v>
      </c>
      <c r="AL343" s="15" t="s">
        <v>133</v>
      </c>
    </row>
    <row r="344" spans="34:38" x14ac:dyDescent="0.4">
      <c r="AH344" s="15" t="s">
        <v>108</v>
      </c>
      <c r="AI344" s="15" t="s">
        <v>105</v>
      </c>
      <c r="AJ344" s="15" t="s">
        <v>108</v>
      </c>
      <c r="AK344" s="15" t="s">
        <v>98</v>
      </c>
      <c r="AL344" s="15" t="s">
        <v>133</v>
      </c>
    </row>
    <row r="345" spans="34:38" x14ac:dyDescent="0.4">
      <c r="AH345" s="15" t="s">
        <v>108</v>
      </c>
      <c r="AI345" s="15" t="s">
        <v>105</v>
      </c>
      <c r="AJ345" s="15" t="s">
        <v>105</v>
      </c>
      <c r="AK345" s="15" t="s">
        <v>101</v>
      </c>
      <c r="AL345" s="15" t="s">
        <v>102</v>
      </c>
    </row>
    <row r="346" spans="34:38" x14ac:dyDescent="0.4">
      <c r="AH346" s="15" t="s">
        <v>108</v>
      </c>
      <c r="AI346" s="15" t="s">
        <v>105</v>
      </c>
      <c r="AJ346" s="15" t="s">
        <v>105</v>
      </c>
      <c r="AK346" s="15" t="s">
        <v>100</v>
      </c>
      <c r="AL346" s="15" t="s">
        <v>102</v>
      </c>
    </row>
    <row r="347" spans="34:38" x14ac:dyDescent="0.4">
      <c r="AH347" s="15" t="s">
        <v>108</v>
      </c>
      <c r="AI347" s="15" t="s">
        <v>105</v>
      </c>
      <c r="AJ347" s="15" t="s">
        <v>105</v>
      </c>
      <c r="AK347" s="15" t="s">
        <v>108</v>
      </c>
      <c r="AL347" s="15" t="s">
        <v>133</v>
      </c>
    </row>
    <row r="348" spans="34:38" x14ac:dyDescent="0.4">
      <c r="AH348" s="15" t="s">
        <v>108</v>
      </c>
      <c r="AI348" s="15" t="s">
        <v>105</v>
      </c>
      <c r="AJ348" s="15" t="s">
        <v>105</v>
      </c>
      <c r="AK348" s="15" t="s">
        <v>105</v>
      </c>
      <c r="AL348" s="15" t="s">
        <v>133</v>
      </c>
    </row>
    <row r="349" spans="34:38" x14ac:dyDescent="0.4">
      <c r="AH349" s="15" t="s">
        <v>108</v>
      </c>
      <c r="AI349" s="15" t="s">
        <v>105</v>
      </c>
      <c r="AJ349" s="15" t="s">
        <v>105</v>
      </c>
      <c r="AK349" s="15" t="s">
        <v>98</v>
      </c>
      <c r="AL349" s="15" t="s">
        <v>133</v>
      </c>
    </row>
    <row r="350" spans="34:38" x14ac:dyDescent="0.4">
      <c r="AH350" s="15" t="s">
        <v>108</v>
      </c>
      <c r="AI350" s="15" t="s">
        <v>105</v>
      </c>
      <c r="AJ350" s="15" t="s">
        <v>98</v>
      </c>
      <c r="AK350" s="15" t="s">
        <v>101</v>
      </c>
      <c r="AL350" s="15" t="s">
        <v>102</v>
      </c>
    </row>
    <row r="351" spans="34:38" x14ac:dyDescent="0.4">
      <c r="AH351" s="15" t="s">
        <v>108</v>
      </c>
      <c r="AI351" s="15" t="s">
        <v>105</v>
      </c>
      <c r="AJ351" s="15" t="s">
        <v>98</v>
      </c>
      <c r="AK351" s="15" t="s">
        <v>100</v>
      </c>
      <c r="AL351" s="15" t="s">
        <v>102</v>
      </c>
    </row>
    <row r="352" spans="34:38" x14ac:dyDescent="0.4">
      <c r="AH352" s="15" t="s">
        <v>108</v>
      </c>
      <c r="AI352" s="15" t="s">
        <v>105</v>
      </c>
      <c r="AJ352" s="15" t="s">
        <v>98</v>
      </c>
      <c r="AK352" s="15" t="s">
        <v>108</v>
      </c>
      <c r="AL352" s="15" t="s">
        <v>133</v>
      </c>
    </row>
    <row r="353" spans="34:38" x14ac:dyDescent="0.4">
      <c r="AH353" s="15" t="s">
        <v>108</v>
      </c>
      <c r="AI353" s="15" t="s">
        <v>105</v>
      </c>
      <c r="AJ353" s="15" t="s">
        <v>98</v>
      </c>
      <c r="AK353" s="15" t="s">
        <v>105</v>
      </c>
      <c r="AL353" s="15" t="s">
        <v>133</v>
      </c>
    </row>
    <row r="354" spans="34:38" x14ac:dyDescent="0.4">
      <c r="AH354" s="15" t="s">
        <v>108</v>
      </c>
      <c r="AI354" s="15" t="s">
        <v>105</v>
      </c>
      <c r="AJ354" s="15" t="s">
        <v>98</v>
      </c>
      <c r="AK354" s="15" t="s">
        <v>98</v>
      </c>
      <c r="AL354" s="15" t="s">
        <v>133</v>
      </c>
    </row>
    <row r="355" spans="34:38" x14ac:dyDescent="0.4">
      <c r="AH355" s="15" t="s">
        <v>108</v>
      </c>
      <c r="AI355" s="15" t="s">
        <v>98</v>
      </c>
      <c r="AJ355" s="15" t="s">
        <v>101</v>
      </c>
      <c r="AK355" s="15" t="s">
        <v>101</v>
      </c>
      <c r="AL355" s="15" t="s">
        <v>102</v>
      </c>
    </row>
    <row r="356" spans="34:38" x14ac:dyDescent="0.4">
      <c r="AH356" s="15" t="s">
        <v>108</v>
      </c>
      <c r="AI356" s="15" t="s">
        <v>98</v>
      </c>
      <c r="AJ356" s="15" t="s">
        <v>101</v>
      </c>
      <c r="AK356" s="15" t="s">
        <v>100</v>
      </c>
      <c r="AL356" s="15" t="s">
        <v>102</v>
      </c>
    </row>
    <row r="357" spans="34:38" x14ac:dyDescent="0.4">
      <c r="AH357" s="15" t="s">
        <v>108</v>
      </c>
      <c r="AI357" s="15" t="s">
        <v>98</v>
      </c>
      <c r="AJ357" s="15" t="s">
        <v>101</v>
      </c>
      <c r="AK357" s="15" t="s">
        <v>108</v>
      </c>
      <c r="AL357" s="15" t="s">
        <v>133</v>
      </c>
    </row>
    <row r="358" spans="34:38" x14ac:dyDescent="0.4">
      <c r="AH358" s="15" t="s">
        <v>108</v>
      </c>
      <c r="AI358" s="15" t="s">
        <v>98</v>
      </c>
      <c r="AJ358" s="15" t="s">
        <v>101</v>
      </c>
      <c r="AK358" s="15" t="s">
        <v>105</v>
      </c>
      <c r="AL358" s="15" t="s">
        <v>133</v>
      </c>
    </row>
    <row r="359" spans="34:38" x14ac:dyDescent="0.4">
      <c r="AH359" s="15" t="s">
        <v>108</v>
      </c>
      <c r="AI359" s="15" t="s">
        <v>98</v>
      </c>
      <c r="AJ359" s="15" t="s">
        <v>101</v>
      </c>
      <c r="AK359" s="15" t="s">
        <v>98</v>
      </c>
      <c r="AL359" s="15" t="s">
        <v>133</v>
      </c>
    </row>
    <row r="360" spans="34:38" x14ac:dyDescent="0.4">
      <c r="AH360" s="15" t="s">
        <v>108</v>
      </c>
      <c r="AI360" s="15" t="s">
        <v>98</v>
      </c>
      <c r="AJ360" s="15" t="s">
        <v>100</v>
      </c>
      <c r="AK360" s="15" t="s">
        <v>101</v>
      </c>
      <c r="AL360" s="15" t="s">
        <v>102</v>
      </c>
    </row>
    <row r="361" spans="34:38" x14ac:dyDescent="0.4">
      <c r="AH361" s="15" t="s">
        <v>108</v>
      </c>
      <c r="AI361" s="15" t="s">
        <v>98</v>
      </c>
      <c r="AJ361" s="15" t="s">
        <v>100</v>
      </c>
      <c r="AK361" s="15" t="s">
        <v>100</v>
      </c>
      <c r="AL361" s="15" t="s">
        <v>102</v>
      </c>
    </row>
    <row r="362" spans="34:38" x14ac:dyDescent="0.4">
      <c r="AH362" s="15" t="s">
        <v>108</v>
      </c>
      <c r="AI362" s="15" t="s">
        <v>98</v>
      </c>
      <c r="AJ362" s="15" t="s">
        <v>100</v>
      </c>
      <c r="AK362" s="15" t="s">
        <v>108</v>
      </c>
      <c r="AL362" s="15" t="s">
        <v>102</v>
      </c>
    </row>
    <row r="363" spans="34:38" x14ac:dyDescent="0.4">
      <c r="AH363" s="15" t="s">
        <v>108</v>
      </c>
      <c r="AI363" s="15" t="s">
        <v>98</v>
      </c>
      <c r="AJ363" s="15" t="s">
        <v>100</v>
      </c>
      <c r="AK363" s="15" t="s">
        <v>105</v>
      </c>
      <c r="AL363" s="15" t="s">
        <v>102</v>
      </c>
    </row>
    <row r="364" spans="34:38" x14ac:dyDescent="0.4">
      <c r="AH364" s="15" t="s">
        <v>108</v>
      </c>
      <c r="AI364" s="15" t="s">
        <v>98</v>
      </c>
      <c r="AJ364" s="15" t="s">
        <v>100</v>
      </c>
      <c r="AK364" s="15" t="s">
        <v>98</v>
      </c>
      <c r="AL364" s="15" t="s">
        <v>102</v>
      </c>
    </row>
    <row r="365" spans="34:38" x14ac:dyDescent="0.4">
      <c r="AH365" s="15" t="s">
        <v>108</v>
      </c>
      <c r="AI365" s="15" t="s">
        <v>98</v>
      </c>
      <c r="AJ365" s="15" t="s">
        <v>108</v>
      </c>
      <c r="AK365" s="15" t="s">
        <v>101</v>
      </c>
      <c r="AL365" s="15" t="s">
        <v>102</v>
      </c>
    </row>
    <row r="366" spans="34:38" x14ac:dyDescent="0.4">
      <c r="AH366" s="15" t="s">
        <v>108</v>
      </c>
      <c r="AI366" s="15" t="s">
        <v>98</v>
      </c>
      <c r="AJ366" s="15" t="s">
        <v>108</v>
      </c>
      <c r="AK366" s="15" t="s">
        <v>100</v>
      </c>
      <c r="AL366" s="15" t="s">
        <v>102</v>
      </c>
    </row>
    <row r="367" spans="34:38" x14ac:dyDescent="0.4">
      <c r="AH367" s="15" t="s">
        <v>108</v>
      </c>
      <c r="AI367" s="15" t="s">
        <v>98</v>
      </c>
      <c r="AJ367" s="15" t="s">
        <v>108</v>
      </c>
      <c r="AK367" s="15" t="s">
        <v>108</v>
      </c>
      <c r="AL367" s="15" t="s">
        <v>133</v>
      </c>
    </row>
    <row r="368" spans="34:38" x14ac:dyDescent="0.4">
      <c r="AH368" s="15" t="s">
        <v>108</v>
      </c>
      <c r="AI368" s="15" t="s">
        <v>98</v>
      </c>
      <c r="AJ368" s="15" t="s">
        <v>108</v>
      </c>
      <c r="AK368" s="15" t="s">
        <v>105</v>
      </c>
      <c r="AL368" s="15" t="s">
        <v>133</v>
      </c>
    </row>
    <row r="369" spans="34:38" x14ac:dyDescent="0.4">
      <c r="AH369" s="15" t="s">
        <v>108</v>
      </c>
      <c r="AI369" s="15" t="s">
        <v>98</v>
      </c>
      <c r="AJ369" s="15" t="s">
        <v>108</v>
      </c>
      <c r="AK369" s="15" t="s">
        <v>98</v>
      </c>
      <c r="AL369" s="15" t="s">
        <v>133</v>
      </c>
    </row>
    <row r="370" spans="34:38" x14ac:dyDescent="0.4">
      <c r="AH370" s="15" t="s">
        <v>108</v>
      </c>
      <c r="AI370" s="15" t="s">
        <v>98</v>
      </c>
      <c r="AJ370" s="15" t="s">
        <v>105</v>
      </c>
      <c r="AK370" s="15" t="s">
        <v>101</v>
      </c>
      <c r="AL370" s="15" t="s">
        <v>102</v>
      </c>
    </row>
    <row r="371" spans="34:38" x14ac:dyDescent="0.4">
      <c r="AH371" s="15" t="s">
        <v>108</v>
      </c>
      <c r="AI371" s="15" t="s">
        <v>98</v>
      </c>
      <c r="AJ371" s="15" t="s">
        <v>105</v>
      </c>
      <c r="AK371" s="15" t="s">
        <v>100</v>
      </c>
      <c r="AL371" s="15" t="s">
        <v>102</v>
      </c>
    </row>
    <row r="372" spans="34:38" x14ac:dyDescent="0.4">
      <c r="AH372" s="15" t="s">
        <v>108</v>
      </c>
      <c r="AI372" s="15" t="s">
        <v>98</v>
      </c>
      <c r="AJ372" s="15" t="s">
        <v>105</v>
      </c>
      <c r="AK372" s="15" t="s">
        <v>108</v>
      </c>
      <c r="AL372" s="15" t="s">
        <v>133</v>
      </c>
    </row>
    <row r="373" spans="34:38" x14ac:dyDescent="0.4">
      <c r="AH373" s="15" t="s">
        <v>108</v>
      </c>
      <c r="AI373" s="15" t="s">
        <v>98</v>
      </c>
      <c r="AJ373" s="15" t="s">
        <v>105</v>
      </c>
      <c r="AK373" s="15" t="s">
        <v>105</v>
      </c>
      <c r="AL373" s="15" t="s">
        <v>133</v>
      </c>
    </row>
    <row r="374" spans="34:38" x14ac:dyDescent="0.4">
      <c r="AH374" s="15" t="s">
        <v>108</v>
      </c>
      <c r="AI374" s="15" t="s">
        <v>98</v>
      </c>
      <c r="AJ374" s="15" t="s">
        <v>105</v>
      </c>
      <c r="AK374" s="15" t="s">
        <v>98</v>
      </c>
      <c r="AL374" s="15" t="s">
        <v>133</v>
      </c>
    </row>
    <row r="375" spans="34:38" x14ac:dyDescent="0.4">
      <c r="AH375" s="15" t="s">
        <v>108</v>
      </c>
      <c r="AI375" s="15" t="s">
        <v>98</v>
      </c>
      <c r="AJ375" s="15" t="s">
        <v>98</v>
      </c>
      <c r="AK375" s="15" t="s">
        <v>101</v>
      </c>
      <c r="AL375" s="15" t="s">
        <v>102</v>
      </c>
    </row>
    <row r="376" spans="34:38" x14ac:dyDescent="0.4">
      <c r="AH376" s="15" t="s">
        <v>108</v>
      </c>
      <c r="AI376" s="15" t="s">
        <v>98</v>
      </c>
      <c r="AJ376" s="15" t="s">
        <v>98</v>
      </c>
      <c r="AK376" s="15" t="s">
        <v>100</v>
      </c>
      <c r="AL376" s="15" t="s">
        <v>102</v>
      </c>
    </row>
    <row r="377" spans="34:38" x14ac:dyDescent="0.4">
      <c r="AH377" s="15" t="s">
        <v>108</v>
      </c>
      <c r="AI377" s="15" t="s">
        <v>98</v>
      </c>
      <c r="AJ377" s="15" t="s">
        <v>98</v>
      </c>
      <c r="AK377" s="15" t="s">
        <v>108</v>
      </c>
      <c r="AL377" s="15" t="s">
        <v>133</v>
      </c>
    </row>
    <row r="378" spans="34:38" x14ac:dyDescent="0.4">
      <c r="AH378" s="15" t="s">
        <v>108</v>
      </c>
      <c r="AI378" s="15" t="s">
        <v>98</v>
      </c>
      <c r="AJ378" s="15" t="s">
        <v>98</v>
      </c>
      <c r="AK378" s="15" t="s">
        <v>105</v>
      </c>
      <c r="AL378" s="15" t="s">
        <v>133</v>
      </c>
    </row>
    <row r="379" spans="34:38" x14ac:dyDescent="0.4">
      <c r="AH379" s="15" t="s">
        <v>108</v>
      </c>
      <c r="AI379" s="15" t="s">
        <v>98</v>
      </c>
      <c r="AJ379" s="15" t="s">
        <v>98</v>
      </c>
      <c r="AK379" s="15" t="s">
        <v>98</v>
      </c>
      <c r="AL379" s="15" t="s">
        <v>133</v>
      </c>
    </row>
    <row r="380" spans="34:38" x14ac:dyDescent="0.4">
      <c r="AH380" s="72" t="s">
        <v>105</v>
      </c>
      <c r="AI380" s="72" t="s">
        <v>101</v>
      </c>
      <c r="AJ380" s="72" t="s">
        <v>101</v>
      </c>
      <c r="AK380" s="72" t="s">
        <v>101</v>
      </c>
      <c r="AL380" s="15" t="s">
        <v>102</v>
      </c>
    </row>
    <row r="381" spans="34:38" x14ac:dyDescent="0.4">
      <c r="AH381" s="72" t="s">
        <v>105</v>
      </c>
      <c r="AI381" s="72" t="s">
        <v>101</v>
      </c>
      <c r="AJ381" s="72" t="s">
        <v>101</v>
      </c>
      <c r="AK381" s="72" t="s">
        <v>100</v>
      </c>
      <c r="AL381" s="15" t="s">
        <v>102</v>
      </c>
    </row>
    <row r="382" spans="34:38" x14ac:dyDescent="0.4">
      <c r="AH382" s="72" t="s">
        <v>105</v>
      </c>
      <c r="AI382" s="72" t="s">
        <v>101</v>
      </c>
      <c r="AJ382" s="72" t="s">
        <v>101</v>
      </c>
      <c r="AK382" s="72" t="s">
        <v>108</v>
      </c>
      <c r="AL382" s="15" t="s">
        <v>102</v>
      </c>
    </row>
    <row r="383" spans="34:38" x14ac:dyDescent="0.4">
      <c r="AH383" s="72" t="s">
        <v>105</v>
      </c>
      <c r="AI383" s="72" t="s">
        <v>101</v>
      </c>
      <c r="AJ383" s="72" t="s">
        <v>101</v>
      </c>
      <c r="AK383" s="72" t="s">
        <v>105</v>
      </c>
      <c r="AL383" s="15" t="s">
        <v>102</v>
      </c>
    </row>
    <row r="384" spans="34:38" x14ac:dyDescent="0.4">
      <c r="AH384" s="72" t="s">
        <v>105</v>
      </c>
      <c r="AI384" s="72" t="s">
        <v>101</v>
      </c>
      <c r="AJ384" s="72" t="s">
        <v>101</v>
      </c>
      <c r="AK384" s="72" t="s">
        <v>98</v>
      </c>
      <c r="AL384" s="15" t="s">
        <v>102</v>
      </c>
    </row>
    <row r="385" spans="34:38" x14ac:dyDescent="0.4">
      <c r="AH385" s="72" t="s">
        <v>105</v>
      </c>
      <c r="AI385" s="72" t="s">
        <v>101</v>
      </c>
      <c r="AJ385" s="72" t="s">
        <v>100</v>
      </c>
      <c r="AK385" s="72" t="s">
        <v>101</v>
      </c>
      <c r="AL385" s="15" t="s">
        <v>102</v>
      </c>
    </row>
    <row r="386" spans="34:38" x14ac:dyDescent="0.4">
      <c r="AH386" s="72" t="s">
        <v>105</v>
      </c>
      <c r="AI386" s="72" t="s">
        <v>101</v>
      </c>
      <c r="AJ386" s="72" t="s">
        <v>100</v>
      </c>
      <c r="AK386" s="72" t="s">
        <v>100</v>
      </c>
      <c r="AL386" s="15" t="s">
        <v>102</v>
      </c>
    </row>
    <row r="387" spans="34:38" x14ac:dyDescent="0.4">
      <c r="AH387" s="72" t="s">
        <v>105</v>
      </c>
      <c r="AI387" s="72" t="s">
        <v>101</v>
      </c>
      <c r="AJ387" s="72" t="s">
        <v>100</v>
      </c>
      <c r="AK387" s="72" t="s">
        <v>108</v>
      </c>
      <c r="AL387" s="15" t="s">
        <v>102</v>
      </c>
    </row>
    <row r="388" spans="34:38" x14ac:dyDescent="0.4">
      <c r="AH388" s="72" t="s">
        <v>105</v>
      </c>
      <c r="AI388" s="72" t="s">
        <v>101</v>
      </c>
      <c r="AJ388" s="72" t="s">
        <v>100</v>
      </c>
      <c r="AK388" s="72" t="s">
        <v>105</v>
      </c>
      <c r="AL388" s="15" t="s">
        <v>102</v>
      </c>
    </row>
    <row r="389" spans="34:38" x14ac:dyDescent="0.4">
      <c r="AH389" s="72" t="s">
        <v>105</v>
      </c>
      <c r="AI389" s="72" t="s">
        <v>101</v>
      </c>
      <c r="AJ389" s="72" t="s">
        <v>100</v>
      </c>
      <c r="AK389" s="72" t="s">
        <v>98</v>
      </c>
      <c r="AL389" s="15" t="s">
        <v>102</v>
      </c>
    </row>
    <row r="390" spans="34:38" x14ac:dyDescent="0.4">
      <c r="AH390" s="72" t="s">
        <v>105</v>
      </c>
      <c r="AI390" s="72" t="s">
        <v>101</v>
      </c>
      <c r="AJ390" s="72" t="s">
        <v>108</v>
      </c>
      <c r="AK390" s="72" t="s">
        <v>101</v>
      </c>
      <c r="AL390" s="15" t="s">
        <v>102</v>
      </c>
    </row>
    <row r="391" spans="34:38" x14ac:dyDescent="0.4">
      <c r="AH391" s="72" t="s">
        <v>105</v>
      </c>
      <c r="AI391" s="72" t="s">
        <v>101</v>
      </c>
      <c r="AJ391" s="72" t="s">
        <v>108</v>
      </c>
      <c r="AK391" s="72" t="s">
        <v>100</v>
      </c>
      <c r="AL391" s="15" t="s">
        <v>102</v>
      </c>
    </row>
    <row r="392" spans="34:38" x14ac:dyDescent="0.4">
      <c r="AH392" s="72" t="s">
        <v>105</v>
      </c>
      <c r="AI392" s="72" t="s">
        <v>101</v>
      </c>
      <c r="AJ392" s="72" t="s">
        <v>108</v>
      </c>
      <c r="AK392" s="72" t="s">
        <v>108</v>
      </c>
      <c r="AL392" s="15" t="s">
        <v>102</v>
      </c>
    </row>
    <row r="393" spans="34:38" x14ac:dyDescent="0.4">
      <c r="AH393" s="72" t="s">
        <v>105</v>
      </c>
      <c r="AI393" s="72" t="s">
        <v>101</v>
      </c>
      <c r="AJ393" s="72" t="s">
        <v>108</v>
      </c>
      <c r="AK393" s="72" t="s">
        <v>105</v>
      </c>
      <c r="AL393" s="15" t="s">
        <v>102</v>
      </c>
    </row>
    <row r="394" spans="34:38" x14ac:dyDescent="0.4">
      <c r="AH394" s="72" t="s">
        <v>105</v>
      </c>
      <c r="AI394" s="72" t="s">
        <v>101</v>
      </c>
      <c r="AJ394" s="72" t="s">
        <v>108</v>
      </c>
      <c r="AK394" s="72" t="s">
        <v>98</v>
      </c>
      <c r="AL394" s="15" t="s">
        <v>102</v>
      </c>
    </row>
    <row r="395" spans="34:38" x14ac:dyDescent="0.4">
      <c r="AH395" s="72" t="s">
        <v>105</v>
      </c>
      <c r="AI395" s="72" t="s">
        <v>101</v>
      </c>
      <c r="AJ395" s="72" t="s">
        <v>105</v>
      </c>
      <c r="AK395" s="72" t="s">
        <v>101</v>
      </c>
      <c r="AL395" s="15" t="s">
        <v>102</v>
      </c>
    </row>
    <row r="396" spans="34:38" x14ac:dyDescent="0.4">
      <c r="AH396" s="72" t="s">
        <v>105</v>
      </c>
      <c r="AI396" s="72" t="s">
        <v>101</v>
      </c>
      <c r="AJ396" s="72" t="s">
        <v>105</v>
      </c>
      <c r="AK396" s="72" t="s">
        <v>100</v>
      </c>
      <c r="AL396" s="15" t="s">
        <v>102</v>
      </c>
    </row>
    <row r="397" spans="34:38" x14ac:dyDescent="0.4">
      <c r="AH397" s="72" t="s">
        <v>105</v>
      </c>
      <c r="AI397" s="72" t="s">
        <v>101</v>
      </c>
      <c r="AJ397" s="72" t="s">
        <v>105</v>
      </c>
      <c r="AK397" s="72" t="s">
        <v>108</v>
      </c>
      <c r="AL397" s="15" t="s">
        <v>102</v>
      </c>
    </row>
    <row r="398" spans="34:38" x14ac:dyDescent="0.4">
      <c r="AH398" s="72" t="s">
        <v>105</v>
      </c>
      <c r="AI398" s="72" t="s">
        <v>101</v>
      </c>
      <c r="AJ398" s="72" t="s">
        <v>105</v>
      </c>
      <c r="AK398" s="72" t="s">
        <v>105</v>
      </c>
      <c r="AL398" s="15" t="s">
        <v>102</v>
      </c>
    </row>
    <row r="399" spans="34:38" x14ac:dyDescent="0.4">
      <c r="AH399" s="72" t="s">
        <v>105</v>
      </c>
      <c r="AI399" s="72" t="s">
        <v>101</v>
      </c>
      <c r="AJ399" s="72" t="s">
        <v>105</v>
      </c>
      <c r="AK399" s="72" t="s">
        <v>98</v>
      </c>
      <c r="AL399" s="15" t="s">
        <v>102</v>
      </c>
    </row>
    <row r="400" spans="34:38" x14ac:dyDescent="0.4">
      <c r="AH400" s="72" t="s">
        <v>105</v>
      </c>
      <c r="AI400" s="72" t="s">
        <v>101</v>
      </c>
      <c r="AJ400" s="72" t="s">
        <v>98</v>
      </c>
      <c r="AK400" s="72" t="s">
        <v>101</v>
      </c>
      <c r="AL400" s="15" t="s">
        <v>102</v>
      </c>
    </row>
    <row r="401" spans="34:38" x14ac:dyDescent="0.4">
      <c r="AH401" s="72" t="s">
        <v>105</v>
      </c>
      <c r="AI401" s="72" t="s">
        <v>101</v>
      </c>
      <c r="AJ401" s="72" t="s">
        <v>98</v>
      </c>
      <c r="AK401" s="72" t="s">
        <v>100</v>
      </c>
      <c r="AL401" s="15" t="s">
        <v>102</v>
      </c>
    </row>
    <row r="402" spans="34:38" x14ac:dyDescent="0.4">
      <c r="AH402" s="72" t="s">
        <v>105</v>
      </c>
      <c r="AI402" s="72" t="s">
        <v>101</v>
      </c>
      <c r="AJ402" s="72" t="s">
        <v>98</v>
      </c>
      <c r="AK402" s="72" t="s">
        <v>108</v>
      </c>
      <c r="AL402" s="15" t="s">
        <v>102</v>
      </c>
    </row>
    <row r="403" spans="34:38" x14ac:dyDescent="0.4">
      <c r="AH403" s="72" t="s">
        <v>105</v>
      </c>
      <c r="AI403" s="72" t="s">
        <v>101</v>
      </c>
      <c r="AJ403" s="72" t="s">
        <v>98</v>
      </c>
      <c r="AK403" s="72" t="s">
        <v>105</v>
      </c>
      <c r="AL403" s="15" t="s">
        <v>102</v>
      </c>
    </row>
    <row r="404" spans="34:38" x14ac:dyDescent="0.4">
      <c r="AH404" s="72" t="s">
        <v>105</v>
      </c>
      <c r="AI404" s="72" t="s">
        <v>101</v>
      </c>
      <c r="AJ404" s="72" t="s">
        <v>98</v>
      </c>
      <c r="AK404" s="72" t="s">
        <v>98</v>
      </c>
      <c r="AL404" s="15" t="s">
        <v>102</v>
      </c>
    </row>
    <row r="405" spans="34:38" x14ac:dyDescent="0.4">
      <c r="AH405" s="72" t="s">
        <v>105</v>
      </c>
      <c r="AI405" s="72" t="s">
        <v>100</v>
      </c>
      <c r="AJ405" s="72" t="s">
        <v>101</v>
      </c>
      <c r="AK405" s="72" t="s">
        <v>101</v>
      </c>
      <c r="AL405" s="15" t="s">
        <v>102</v>
      </c>
    </row>
    <row r="406" spans="34:38" x14ac:dyDescent="0.4">
      <c r="AH406" s="72" t="s">
        <v>105</v>
      </c>
      <c r="AI406" s="72" t="s">
        <v>100</v>
      </c>
      <c r="AJ406" s="72" t="s">
        <v>101</v>
      </c>
      <c r="AK406" s="72" t="s">
        <v>100</v>
      </c>
      <c r="AL406" s="15" t="s">
        <v>102</v>
      </c>
    </row>
    <row r="407" spans="34:38" x14ac:dyDescent="0.4">
      <c r="AH407" s="72" t="s">
        <v>105</v>
      </c>
      <c r="AI407" s="72" t="s">
        <v>100</v>
      </c>
      <c r="AJ407" s="72" t="s">
        <v>101</v>
      </c>
      <c r="AK407" s="72" t="s">
        <v>108</v>
      </c>
      <c r="AL407" s="15" t="s">
        <v>102</v>
      </c>
    </row>
    <row r="408" spans="34:38" x14ac:dyDescent="0.4">
      <c r="AH408" s="72" t="s">
        <v>105</v>
      </c>
      <c r="AI408" s="72" t="s">
        <v>100</v>
      </c>
      <c r="AJ408" s="72" t="s">
        <v>101</v>
      </c>
      <c r="AK408" s="72" t="s">
        <v>105</v>
      </c>
      <c r="AL408" s="15" t="s">
        <v>102</v>
      </c>
    </row>
    <row r="409" spans="34:38" x14ac:dyDescent="0.4">
      <c r="AH409" s="72" t="s">
        <v>105</v>
      </c>
      <c r="AI409" s="72" t="s">
        <v>100</v>
      </c>
      <c r="AJ409" s="72" t="s">
        <v>101</v>
      </c>
      <c r="AK409" s="72" t="s">
        <v>98</v>
      </c>
      <c r="AL409" s="15" t="s">
        <v>102</v>
      </c>
    </row>
    <row r="410" spans="34:38" x14ac:dyDescent="0.4">
      <c r="AH410" s="72" t="s">
        <v>105</v>
      </c>
      <c r="AI410" s="72" t="s">
        <v>100</v>
      </c>
      <c r="AJ410" s="72" t="s">
        <v>100</v>
      </c>
      <c r="AK410" s="72" t="s">
        <v>101</v>
      </c>
      <c r="AL410" s="15" t="s">
        <v>102</v>
      </c>
    </row>
    <row r="411" spans="34:38" x14ac:dyDescent="0.4">
      <c r="AH411" s="72" t="s">
        <v>105</v>
      </c>
      <c r="AI411" s="72" t="s">
        <v>100</v>
      </c>
      <c r="AJ411" s="72" t="s">
        <v>100</v>
      </c>
      <c r="AK411" s="72" t="s">
        <v>100</v>
      </c>
      <c r="AL411" s="15" t="s">
        <v>102</v>
      </c>
    </row>
    <row r="412" spans="34:38" x14ac:dyDescent="0.4">
      <c r="AH412" s="72" t="s">
        <v>105</v>
      </c>
      <c r="AI412" s="72" t="s">
        <v>100</v>
      </c>
      <c r="AJ412" s="72" t="s">
        <v>100</v>
      </c>
      <c r="AK412" s="72" t="s">
        <v>108</v>
      </c>
      <c r="AL412" s="15" t="s">
        <v>102</v>
      </c>
    </row>
    <row r="413" spans="34:38" x14ac:dyDescent="0.4">
      <c r="AH413" s="72" t="s">
        <v>105</v>
      </c>
      <c r="AI413" s="72" t="s">
        <v>100</v>
      </c>
      <c r="AJ413" s="72" t="s">
        <v>100</v>
      </c>
      <c r="AK413" s="72" t="s">
        <v>105</v>
      </c>
      <c r="AL413" s="15" t="s">
        <v>102</v>
      </c>
    </row>
    <row r="414" spans="34:38" x14ac:dyDescent="0.4">
      <c r="AH414" s="72" t="s">
        <v>105</v>
      </c>
      <c r="AI414" s="72" t="s">
        <v>100</v>
      </c>
      <c r="AJ414" s="72" t="s">
        <v>100</v>
      </c>
      <c r="AK414" s="72" t="s">
        <v>98</v>
      </c>
      <c r="AL414" s="15" t="s">
        <v>102</v>
      </c>
    </row>
    <row r="415" spans="34:38" x14ac:dyDescent="0.4">
      <c r="AH415" s="72" t="s">
        <v>105</v>
      </c>
      <c r="AI415" s="72" t="s">
        <v>100</v>
      </c>
      <c r="AJ415" s="72" t="s">
        <v>108</v>
      </c>
      <c r="AK415" s="72" t="s">
        <v>101</v>
      </c>
      <c r="AL415" s="15" t="s">
        <v>102</v>
      </c>
    </row>
    <row r="416" spans="34:38" x14ac:dyDescent="0.4">
      <c r="AH416" s="72" t="s">
        <v>105</v>
      </c>
      <c r="AI416" s="72" t="s">
        <v>100</v>
      </c>
      <c r="AJ416" s="72" t="s">
        <v>108</v>
      </c>
      <c r="AK416" s="72" t="s">
        <v>100</v>
      </c>
      <c r="AL416" s="15" t="s">
        <v>102</v>
      </c>
    </row>
    <row r="417" spans="34:38" x14ac:dyDescent="0.4">
      <c r="AH417" s="72" t="s">
        <v>105</v>
      </c>
      <c r="AI417" s="72" t="s">
        <v>100</v>
      </c>
      <c r="AJ417" s="72" t="s">
        <v>108</v>
      </c>
      <c r="AK417" s="72" t="s">
        <v>108</v>
      </c>
      <c r="AL417" s="15" t="s">
        <v>102</v>
      </c>
    </row>
    <row r="418" spans="34:38" x14ac:dyDescent="0.4">
      <c r="AH418" s="72" t="s">
        <v>105</v>
      </c>
      <c r="AI418" s="72" t="s">
        <v>100</v>
      </c>
      <c r="AJ418" s="72" t="s">
        <v>108</v>
      </c>
      <c r="AK418" s="72" t="s">
        <v>105</v>
      </c>
      <c r="AL418" s="15" t="s">
        <v>102</v>
      </c>
    </row>
    <row r="419" spans="34:38" x14ac:dyDescent="0.4">
      <c r="AH419" s="72" t="s">
        <v>105</v>
      </c>
      <c r="AI419" s="72" t="s">
        <v>100</v>
      </c>
      <c r="AJ419" s="72" t="s">
        <v>108</v>
      </c>
      <c r="AK419" s="72" t="s">
        <v>98</v>
      </c>
      <c r="AL419" s="15" t="s">
        <v>102</v>
      </c>
    </row>
    <row r="420" spans="34:38" x14ac:dyDescent="0.4">
      <c r="AH420" s="72" t="s">
        <v>105</v>
      </c>
      <c r="AI420" s="72" t="s">
        <v>100</v>
      </c>
      <c r="AJ420" s="72" t="s">
        <v>105</v>
      </c>
      <c r="AK420" s="72" t="s">
        <v>101</v>
      </c>
      <c r="AL420" s="15" t="s">
        <v>102</v>
      </c>
    </row>
    <row r="421" spans="34:38" x14ac:dyDescent="0.4">
      <c r="AH421" s="72" t="s">
        <v>105</v>
      </c>
      <c r="AI421" s="72" t="s">
        <v>100</v>
      </c>
      <c r="AJ421" s="72" t="s">
        <v>105</v>
      </c>
      <c r="AK421" s="72" t="s">
        <v>100</v>
      </c>
      <c r="AL421" s="15" t="s">
        <v>102</v>
      </c>
    </row>
    <row r="422" spans="34:38" x14ac:dyDescent="0.4">
      <c r="AH422" s="72" t="s">
        <v>105</v>
      </c>
      <c r="AI422" s="72" t="s">
        <v>100</v>
      </c>
      <c r="AJ422" s="72" t="s">
        <v>105</v>
      </c>
      <c r="AK422" s="72" t="s">
        <v>108</v>
      </c>
      <c r="AL422" s="15" t="s">
        <v>102</v>
      </c>
    </row>
    <row r="423" spans="34:38" x14ac:dyDescent="0.4">
      <c r="AH423" s="72" t="s">
        <v>105</v>
      </c>
      <c r="AI423" s="72" t="s">
        <v>100</v>
      </c>
      <c r="AJ423" s="72" t="s">
        <v>105</v>
      </c>
      <c r="AK423" s="72" t="s">
        <v>105</v>
      </c>
      <c r="AL423" s="15" t="s">
        <v>102</v>
      </c>
    </row>
    <row r="424" spans="34:38" x14ac:dyDescent="0.4">
      <c r="AH424" s="72" t="s">
        <v>105</v>
      </c>
      <c r="AI424" s="72" t="s">
        <v>100</v>
      </c>
      <c r="AJ424" s="72" t="s">
        <v>105</v>
      </c>
      <c r="AK424" s="72" t="s">
        <v>98</v>
      </c>
      <c r="AL424" s="15" t="s">
        <v>102</v>
      </c>
    </row>
    <row r="425" spans="34:38" x14ac:dyDescent="0.4">
      <c r="AH425" s="72" t="s">
        <v>105</v>
      </c>
      <c r="AI425" s="72" t="s">
        <v>100</v>
      </c>
      <c r="AJ425" s="72" t="s">
        <v>98</v>
      </c>
      <c r="AK425" s="72" t="s">
        <v>101</v>
      </c>
      <c r="AL425" s="15" t="s">
        <v>102</v>
      </c>
    </row>
    <row r="426" spans="34:38" x14ac:dyDescent="0.4">
      <c r="AH426" s="72" t="s">
        <v>105</v>
      </c>
      <c r="AI426" s="72" t="s">
        <v>100</v>
      </c>
      <c r="AJ426" s="72" t="s">
        <v>98</v>
      </c>
      <c r="AK426" s="72" t="s">
        <v>100</v>
      </c>
      <c r="AL426" s="15" t="s">
        <v>102</v>
      </c>
    </row>
    <row r="427" spans="34:38" x14ac:dyDescent="0.4">
      <c r="AH427" s="72" t="s">
        <v>105</v>
      </c>
      <c r="AI427" s="72" t="s">
        <v>100</v>
      </c>
      <c r="AJ427" s="72" t="s">
        <v>98</v>
      </c>
      <c r="AK427" s="72" t="s">
        <v>108</v>
      </c>
      <c r="AL427" s="15" t="s">
        <v>102</v>
      </c>
    </row>
    <row r="428" spans="34:38" x14ac:dyDescent="0.4">
      <c r="AH428" s="72" t="s">
        <v>105</v>
      </c>
      <c r="AI428" s="72" t="s">
        <v>100</v>
      </c>
      <c r="AJ428" s="72" t="s">
        <v>98</v>
      </c>
      <c r="AK428" s="72" t="s">
        <v>105</v>
      </c>
      <c r="AL428" s="15" t="s">
        <v>102</v>
      </c>
    </row>
    <row r="429" spans="34:38" x14ac:dyDescent="0.4">
      <c r="AH429" s="72" t="s">
        <v>105</v>
      </c>
      <c r="AI429" s="72" t="s">
        <v>100</v>
      </c>
      <c r="AJ429" s="72" t="s">
        <v>98</v>
      </c>
      <c r="AK429" s="72" t="s">
        <v>98</v>
      </c>
      <c r="AL429" s="15" t="s">
        <v>102</v>
      </c>
    </row>
    <row r="430" spans="34:38" x14ac:dyDescent="0.4">
      <c r="AH430" s="72" t="s">
        <v>105</v>
      </c>
      <c r="AI430" s="72" t="s">
        <v>108</v>
      </c>
      <c r="AJ430" s="72" t="s">
        <v>101</v>
      </c>
      <c r="AK430" s="72" t="s">
        <v>101</v>
      </c>
      <c r="AL430" s="15" t="s">
        <v>102</v>
      </c>
    </row>
    <row r="431" spans="34:38" x14ac:dyDescent="0.4">
      <c r="AH431" s="72" t="s">
        <v>105</v>
      </c>
      <c r="AI431" s="72" t="s">
        <v>108</v>
      </c>
      <c r="AJ431" s="72" t="s">
        <v>101</v>
      </c>
      <c r="AK431" s="72" t="s">
        <v>100</v>
      </c>
      <c r="AL431" s="15" t="s">
        <v>102</v>
      </c>
    </row>
    <row r="432" spans="34:38" x14ac:dyDescent="0.4">
      <c r="AH432" s="72" t="s">
        <v>105</v>
      </c>
      <c r="AI432" s="72" t="s">
        <v>108</v>
      </c>
      <c r="AJ432" s="72" t="s">
        <v>101</v>
      </c>
      <c r="AK432" s="72" t="s">
        <v>108</v>
      </c>
      <c r="AL432" s="15" t="s">
        <v>102</v>
      </c>
    </row>
    <row r="433" spans="34:38" x14ac:dyDescent="0.4">
      <c r="AH433" s="72" t="s">
        <v>105</v>
      </c>
      <c r="AI433" s="72" t="s">
        <v>108</v>
      </c>
      <c r="AJ433" s="72" t="s">
        <v>101</v>
      </c>
      <c r="AK433" s="72" t="s">
        <v>105</v>
      </c>
      <c r="AL433" s="15" t="s">
        <v>102</v>
      </c>
    </row>
    <row r="434" spans="34:38" x14ac:dyDescent="0.4">
      <c r="AH434" s="72" t="s">
        <v>105</v>
      </c>
      <c r="AI434" s="72" t="s">
        <v>108</v>
      </c>
      <c r="AJ434" s="72" t="s">
        <v>101</v>
      </c>
      <c r="AK434" s="72" t="s">
        <v>98</v>
      </c>
      <c r="AL434" s="15" t="s">
        <v>102</v>
      </c>
    </row>
    <row r="435" spans="34:38" x14ac:dyDescent="0.4">
      <c r="AH435" s="72" t="s">
        <v>105</v>
      </c>
      <c r="AI435" s="72" t="s">
        <v>108</v>
      </c>
      <c r="AJ435" s="72" t="s">
        <v>100</v>
      </c>
      <c r="AK435" s="72" t="s">
        <v>101</v>
      </c>
      <c r="AL435" s="15" t="s">
        <v>102</v>
      </c>
    </row>
    <row r="436" spans="34:38" x14ac:dyDescent="0.4">
      <c r="AH436" s="72" t="s">
        <v>105</v>
      </c>
      <c r="AI436" s="72" t="s">
        <v>108</v>
      </c>
      <c r="AJ436" s="72" t="s">
        <v>100</v>
      </c>
      <c r="AK436" s="72" t="s">
        <v>100</v>
      </c>
      <c r="AL436" s="15" t="s">
        <v>102</v>
      </c>
    </row>
    <row r="437" spans="34:38" x14ac:dyDescent="0.4">
      <c r="AH437" s="72" t="s">
        <v>105</v>
      </c>
      <c r="AI437" s="72" t="s">
        <v>108</v>
      </c>
      <c r="AJ437" s="72" t="s">
        <v>100</v>
      </c>
      <c r="AK437" s="72" t="s">
        <v>108</v>
      </c>
      <c r="AL437" s="15" t="s">
        <v>102</v>
      </c>
    </row>
    <row r="438" spans="34:38" x14ac:dyDescent="0.4">
      <c r="AH438" s="72" t="s">
        <v>105</v>
      </c>
      <c r="AI438" s="72" t="s">
        <v>108</v>
      </c>
      <c r="AJ438" s="72" t="s">
        <v>100</v>
      </c>
      <c r="AK438" s="72" t="s">
        <v>105</v>
      </c>
      <c r="AL438" s="15" t="s">
        <v>102</v>
      </c>
    </row>
    <row r="439" spans="34:38" x14ac:dyDescent="0.4">
      <c r="AH439" s="72" t="s">
        <v>105</v>
      </c>
      <c r="AI439" s="72" t="s">
        <v>108</v>
      </c>
      <c r="AJ439" s="72" t="s">
        <v>100</v>
      </c>
      <c r="AK439" s="72" t="s">
        <v>98</v>
      </c>
      <c r="AL439" s="15" t="s">
        <v>102</v>
      </c>
    </row>
    <row r="440" spans="34:38" x14ac:dyDescent="0.4">
      <c r="AH440" s="72" t="s">
        <v>105</v>
      </c>
      <c r="AI440" s="72" t="s">
        <v>108</v>
      </c>
      <c r="AJ440" s="72" t="s">
        <v>108</v>
      </c>
      <c r="AK440" s="72" t="s">
        <v>101</v>
      </c>
      <c r="AL440" s="15" t="s">
        <v>102</v>
      </c>
    </row>
    <row r="441" spans="34:38" x14ac:dyDescent="0.4">
      <c r="AH441" s="72" t="s">
        <v>105</v>
      </c>
      <c r="AI441" s="72" t="s">
        <v>108</v>
      </c>
      <c r="AJ441" s="72" t="s">
        <v>108</v>
      </c>
      <c r="AK441" s="72" t="s">
        <v>100</v>
      </c>
      <c r="AL441" s="15" t="s">
        <v>102</v>
      </c>
    </row>
    <row r="442" spans="34:38" x14ac:dyDescent="0.4">
      <c r="AH442" s="72" t="s">
        <v>105</v>
      </c>
      <c r="AI442" s="72" t="s">
        <v>108</v>
      </c>
      <c r="AJ442" s="72" t="s">
        <v>108</v>
      </c>
      <c r="AK442" s="72" t="s">
        <v>108</v>
      </c>
      <c r="AL442" s="15" t="s">
        <v>102</v>
      </c>
    </row>
    <row r="443" spans="34:38" x14ac:dyDescent="0.4">
      <c r="AH443" s="72" t="s">
        <v>105</v>
      </c>
      <c r="AI443" s="72" t="s">
        <v>108</v>
      </c>
      <c r="AJ443" s="72" t="s">
        <v>108</v>
      </c>
      <c r="AK443" s="72" t="s">
        <v>105</v>
      </c>
      <c r="AL443" s="15" t="s">
        <v>102</v>
      </c>
    </row>
    <row r="444" spans="34:38" x14ac:dyDescent="0.4">
      <c r="AH444" s="72" t="s">
        <v>105</v>
      </c>
      <c r="AI444" s="72" t="s">
        <v>108</v>
      </c>
      <c r="AJ444" s="72" t="s">
        <v>108</v>
      </c>
      <c r="AK444" s="72" t="s">
        <v>98</v>
      </c>
      <c r="AL444" s="15" t="s">
        <v>102</v>
      </c>
    </row>
    <row r="445" spans="34:38" x14ac:dyDescent="0.4">
      <c r="AH445" s="72" t="s">
        <v>105</v>
      </c>
      <c r="AI445" s="72" t="s">
        <v>108</v>
      </c>
      <c r="AJ445" s="72" t="s">
        <v>105</v>
      </c>
      <c r="AK445" s="72" t="s">
        <v>101</v>
      </c>
      <c r="AL445" s="15" t="s">
        <v>102</v>
      </c>
    </row>
    <row r="446" spans="34:38" x14ac:dyDescent="0.4">
      <c r="AH446" s="72" t="s">
        <v>105</v>
      </c>
      <c r="AI446" s="72" t="s">
        <v>108</v>
      </c>
      <c r="AJ446" s="72" t="s">
        <v>105</v>
      </c>
      <c r="AK446" s="72" t="s">
        <v>100</v>
      </c>
      <c r="AL446" s="15" t="s">
        <v>102</v>
      </c>
    </row>
    <row r="447" spans="34:38" x14ac:dyDescent="0.4">
      <c r="AH447" s="72" t="s">
        <v>105</v>
      </c>
      <c r="AI447" s="72" t="s">
        <v>108</v>
      </c>
      <c r="AJ447" s="72" t="s">
        <v>105</v>
      </c>
      <c r="AK447" s="72" t="s">
        <v>108</v>
      </c>
      <c r="AL447" s="15" t="s">
        <v>102</v>
      </c>
    </row>
    <row r="448" spans="34:38" x14ac:dyDescent="0.4">
      <c r="AH448" s="72" t="s">
        <v>105</v>
      </c>
      <c r="AI448" s="72" t="s">
        <v>108</v>
      </c>
      <c r="AJ448" s="72" t="s">
        <v>105</v>
      </c>
      <c r="AK448" s="72" t="s">
        <v>105</v>
      </c>
      <c r="AL448" s="15" t="s">
        <v>133</v>
      </c>
    </row>
    <row r="449" spans="34:38" x14ac:dyDescent="0.4">
      <c r="AH449" s="72" t="s">
        <v>105</v>
      </c>
      <c r="AI449" s="72" t="s">
        <v>108</v>
      </c>
      <c r="AJ449" s="72" t="s">
        <v>105</v>
      </c>
      <c r="AK449" s="72" t="s">
        <v>98</v>
      </c>
      <c r="AL449" s="15" t="s">
        <v>133</v>
      </c>
    </row>
    <row r="450" spans="34:38" x14ac:dyDescent="0.4">
      <c r="AH450" s="72" t="s">
        <v>105</v>
      </c>
      <c r="AI450" s="72" t="s">
        <v>108</v>
      </c>
      <c r="AJ450" s="72" t="s">
        <v>98</v>
      </c>
      <c r="AK450" s="72" t="s">
        <v>101</v>
      </c>
      <c r="AL450" s="15" t="s">
        <v>102</v>
      </c>
    </row>
    <row r="451" spans="34:38" x14ac:dyDescent="0.4">
      <c r="AH451" s="72" t="s">
        <v>105</v>
      </c>
      <c r="AI451" s="72" t="s">
        <v>108</v>
      </c>
      <c r="AJ451" s="72" t="s">
        <v>98</v>
      </c>
      <c r="AK451" s="72" t="s">
        <v>100</v>
      </c>
      <c r="AL451" s="15" t="s">
        <v>102</v>
      </c>
    </row>
    <row r="452" spans="34:38" x14ac:dyDescent="0.4">
      <c r="AH452" s="72" t="s">
        <v>105</v>
      </c>
      <c r="AI452" s="72" t="s">
        <v>108</v>
      </c>
      <c r="AJ452" s="72" t="s">
        <v>98</v>
      </c>
      <c r="AK452" s="72" t="s">
        <v>108</v>
      </c>
      <c r="AL452" s="15" t="s">
        <v>102</v>
      </c>
    </row>
    <row r="453" spans="34:38" x14ac:dyDescent="0.4">
      <c r="AH453" s="72" t="s">
        <v>105</v>
      </c>
      <c r="AI453" s="72" t="s">
        <v>108</v>
      </c>
      <c r="AJ453" s="72" t="s">
        <v>98</v>
      </c>
      <c r="AK453" s="72" t="s">
        <v>105</v>
      </c>
      <c r="AL453" s="15" t="s">
        <v>133</v>
      </c>
    </row>
    <row r="454" spans="34:38" x14ac:dyDescent="0.4">
      <c r="AH454" s="72" t="s">
        <v>105</v>
      </c>
      <c r="AI454" s="72" t="s">
        <v>108</v>
      </c>
      <c r="AJ454" s="72" t="s">
        <v>98</v>
      </c>
      <c r="AK454" s="72" t="s">
        <v>98</v>
      </c>
      <c r="AL454" s="15" t="s">
        <v>133</v>
      </c>
    </row>
    <row r="455" spans="34:38" x14ac:dyDescent="0.4">
      <c r="AH455" s="72" t="s">
        <v>105</v>
      </c>
      <c r="AI455" s="72" t="s">
        <v>105</v>
      </c>
      <c r="AJ455" s="72" t="s">
        <v>101</v>
      </c>
      <c r="AK455" s="72" t="s">
        <v>101</v>
      </c>
      <c r="AL455" s="15" t="s">
        <v>102</v>
      </c>
    </row>
    <row r="456" spans="34:38" x14ac:dyDescent="0.4">
      <c r="AH456" s="72" t="s">
        <v>105</v>
      </c>
      <c r="AI456" s="72" t="s">
        <v>105</v>
      </c>
      <c r="AJ456" s="72" t="s">
        <v>101</v>
      </c>
      <c r="AK456" s="72" t="s">
        <v>100</v>
      </c>
      <c r="AL456" s="15" t="s">
        <v>102</v>
      </c>
    </row>
    <row r="457" spans="34:38" x14ac:dyDescent="0.4">
      <c r="AH457" s="72" t="s">
        <v>105</v>
      </c>
      <c r="AI457" s="72" t="s">
        <v>105</v>
      </c>
      <c r="AJ457" s="72" t="s">
        <v>101</v>
      </c>
      <c r="AK457" s="72" t="s">
        <v>108</v>
      </c>
      <c r="AL457" s="15" t="s">
        <v>102</v>
      </c>
    </row>
    <row r="458" spans="34:38" x14ac:dyDescent="0.4">
      <c r="AH458" s="72" t="s">
        <v>105</v>
      </c>
      <c r="AI458" s="72" t="s">
        <v>105</v>
      </c>
      <c r="AJ458" s="72" t="s">
        <v>101</v>
      </c>
      <c r="AK458" s="72" t="s">
        <v>105</v>
      </c>
      <c r="AL458" s="15" t="s">
        <v>102</v>
      </c>
    </row>
    <row r="459" spans="34:38" x14ac:dyDescent="0.4">
      <c r="AH459" s="72" t="s">
        <v>105</v>
      </c>
      <c r="AI459" s="72" t="s">
        <v>105</v>
      </c>
      <c r="AJ459" s="72" t="s">
        <v>101</v>
      </c>
      <c r="AK459" s="72" t="s">
        <v>98</v>
      </c>
      <c r="AL459" s="15" t="s">
        <v>102</v>
      </c>
    </row>
    <row r="460" spans="34:38" x14ac:dyDescent="0.4">
      <c r="AH460" s="72" t="s">
        <v>105</v>
      </c>
      <c r="AI460" s="72" t="s">
        <v>105</v>
      </c>
      <c r="AJ460" s="72" t="s">
        <v>100</v>
      </c>
      <c r="AK460" s="72" t="s">
        <v>101</v>
      </c>
      <c r="AL460" s="15" t="s">
        <v>102</v>
      </c>
    </row>
    <row r="461" spans="34:38" x14ac:dyDescent="0.4">
      <c r="AH461" s="72" t="s">
        <v>105</v>
      </c>
      <c r="AI461" s="72" t="s">
        <v>105</v>
      </c>
      <c r="AJ461" s="72" t="s">
        <v>100</v>
      </c>
      <c r="AK461" s="72" t="s">
        <v>100</v>
      </c>
      <c r="AL461" s="15" t="s">
        <v>102</v>
      </c>
    </row>
    <row r="462" spans="34:38" x14ac:dyDescent="0.4">
      <c r="AH462" s="72" t="s">
        <v>105</v>
      </c>
      <c r="AI462" s="72" t="s">
        <v>105</v>
      </c>
      <c r="AJ462" s="72" t="s">
        <v>100</v>
      </c>
      <c r="AK462" s="72" t="s">
        <v>108</v>
      </c>
      <c r="AL462" s="15" t="s">
        <v>102</v>
      </c>
    </row>
    <row r="463" spans="34:38" x14ac:dyDescent="0.4">
      <c r="AH463" s="72" t="s">
        <v>105</v>
      </c>
      <c r="AI463" s="72" t="s">
        <v>105</v>
      </c>
      <c r="AJ463" s="72" t="s">
        <v>100</v>
      </c>
      <c r="AK463" s="72" t="s">
        <v>105</v>
      </c>
      <c r="AL463" s="15" t="s">
        <v>102</v>
      </c>
    </row>
    <row r="464" spans="34:38" x14ac:dyDescent="0.4">
      <c r="AH464" s="72" t="s">
        <v>105</v>
      </c>
      <c r="AI464" s="72" t="s">
        <v>105</v>
      </c>
      <c r="AJ464" s="72" t="s">
        <v>100</v>
      </c>
      <c r="AK464" s="72" t="s">
        <v>98</v>
      </c>
      <c r="AL464" s="15" t="s">
        <v>102</v>
      </c>
    </row>
    <row r="465" spans="34:38" x14ac:dyDescent="0.4">
      <c r="AH465" s="72" t="s">
        <v>105</v>
      </c>
      <c r="AI465" s="72" t="s">
        <v>105</v>
      </c>
      <c r="AJ465" s="72" t="s">
        <v>108</v>
      </c>
      <c r="AK465" s="72" t="s">
        <v>101</v>
      </c>
      <c r="AL465" s="15" t="s">
        <v>102</v>
      </c>
    </row>
    <row r="466" spans="34:38" x14ac:dyDescent="0.4">
      <c r="AH466" s="72" t="s">
        <v>105</v>
      </c>
      <c r="AI466" s="72" t="s">
        <v>105</v>
      </c>
      <c r="AJ466" s="72" t="s">
        <v>108</v>
      </c>
      <c r="AK466" s="72" t="s">
        <v>100</v>
      </c>
      <c r="AL466" s="15" t="s">
        <v>102</v>
      </c>
    </row>
    <row r="467" spans="34:38" x14ac:dyDescent="0.4">
      <c r="AH467" s="72" t="s">
        <v>105</v>
      </c>
      <c r="AI467" s="72" t="s">
        <v>105</v>
      </c>
      <c r="AJ467" s="72" t="s">
        <v>108</v>
      </c>
      <c r="AK467" s="72" t="s">
        <v>108</v>
      </c>
      <c r="AL467" s="15" t="s">
        <v>102</v>
      </c>
    </row>
    <row r="468" spans="34:38" x14ac:dyDescent="0.4">
      <c r="AH468" s="72" t="s">
        <v>105</v>
      </c>
      <c r="AI468" s="72" t="s">
        <v>105</v>
      </c>
      <c r="AJ468" s="72" t="s">
        <v>108</v>
      </c>
      <c r="AK468" s="72" t="s">
        <v>105</v>
      </c>
      <c r="AL468" s="15" t="s">
        <v>102</v>
      </c>
    </row>
    <row r="469" spans="34:38" x14ac:dyDescent="0.4">
      <c r="AH469" s="72" t="s">
        <v>105</v>
      </c>
      <c r="AI469" s="72" t="s">
        <v>105</v>
      </c>
      <c r="AJ469" s="72" t="s">
        <v>108</v>
      </c>
      <c r="AK469" s="72" t="s">
        <v>98</v>
      </c>
      <c r="AL469" s="15" t="s">
        <v>102</v>
      </c>
    </row>
    <row r="470" spans="34:38" x14ac:dyDescent="0.4">
      <c r="AH470" s="72" t="s">
        <v>105</v>
      </c>
      <c r="AI470" s="72" t="s">
        <v>105</v>
      </c>
      <c r="AJ470" s="72" t="s">
        <v>105</v>
      </c>
      <c r="AK470" s="72" t="s">
        <v>101</v>
      </c>
      <c r="AL470" s="15" t="s">
        <v>102</v>
      </c>
    </row>
    <row r="471" spans="34:38" x14ac:dyDescent="0.4">
      <c r="AH471" s="72" t="s">
        <v>105</v>
      </c>
      <c r="AI471" s="72" t="s">
        <v>105</v>
      </c>
      <c r="AJ471" s="72" t="s">
        <v>105</v>
      </c>
      <c r="AK471" s="72" t="s">
        <v>100</v>
      </c>
      <c r="AL471" s="15" t="s">
        <v>102</v>
      </c>
    </row>
    <row r="472" spans="34:38" x14ac:dyDescent="0.4">
      <c r="AH472" s="72" t="s">
        <v>105</v>
      </c>
      <c r="AI472" s="72" t="s">
        <v>105</v>
      </c>
      <c r="AJ472" s="72" t="s">
        <v>105</v>
      </c>
      <c r="AK472" s="72" t="s">
        <v>108</v>
      </c>
      <c r="AL472" s="15" t="s">
        <v>102</v>
      </c>
    </row>
    <row r="473" spans="34:38" x14ac:dyDescent="0.4">
      <c r="AH473" s="72" t="s">
        <v>105</v>
      </c>
      <c r="AI473" s="72" t="s">
        <v>105</v>
      </c>
      <c r="AJ473" s="72" t="s">
        <v>105</v>
      </c>
      <c r="AK473" s="72" t="s">
        <v>105</v>
      </c>
      <c r="AL473" s="15" t="s">
        <v>133</v>
      </c>
    </row>
    <row r="474" spans="34:38" x14ac:dyDescent="0.4">
      <c r="AH474" s="72" t="s">
        <v>105</v>
      </c>
      <c r="AI474" s="72" t="s">
        <v>105</v>
      </c>
      <c r="AJ474" s="72" t="s">
        <v>105</v>
      </c>
      <c r="AK474" s="72" t="s">
        <v>98</v>
      </c>
      <c r="AL474" s="15" t="s">
        <v>133</v>
      </c>
    </row>
    <row r="475" spans="34:38" x14ac:dyDescent="0.4">
      <c r="AH475" s="72" t="s">
        <v>105</v>
      </c>
      <c r="AI475" s="72" t="s">
        <v>105</v>
      </c>
      <c r="AJ475" s="72" t="s">
        <v>98</v>
      </c>
      <c r="AK475" s="72" t="s">
        <v>101</v>
      </c>
      <c r="AL475" s="15" t="s">
        <v>102</v>
      </c>
    </row>
    <row r="476" spans="34:38" x14ac:dyDescent="0.4">
      <c r="AH476" s="72" t="s">
        <v>105</v>
      </c>
      <c r="AI476" s="72" t="s">
        <v>105</v>
      </c>
      <c r="AJ476" s="72" t="s">
        <v>98</v>
      </c>
      <c r="AK476" s="72" t="s">
        <v>100</v>
      </c>
      <c r="AL476" s="15" t="s">
        <v>102</v>
      </c>
    </row>
    <row r="477" spans="34:38" x14ac:dyDescent="0.4">
      <c r="AH477" s="72" t="s">
        <v>105</v>
      </c>
      <c r="AI477" s="72" t="s">
        <v>105</v>
      </c>
      <c r="AJ477" s="72" t="s">
        <v>98</v>
      </c>
      <c r="AK477" s="72" t="s">
        <v>108</v>
      </c>
      <c r="AL477" s="15" t="s">
        <v>102</v>
      </c>
    </row>
    <row r="478" spans="34:38" x14ac:dyDescent="0.4">
      <c r="AH478" s="72" t="s">
        <v>105</v>
      </c>
      <c r="AI478" s="72" t="s">
        <v>105</v>
      </c>
      <c r="AJ478" s="72" t="s">
        <v>98</v>
      </c>
      <c r="AK478" s="72" t="s">
        <v>105</v>
      </c>
      <c r="AL478" s="15" t="s">
        <v>133</v>
      </c>
    </row>
    <row r="479" spans="34:38" x14ac:dyDescent="0.4">
      <c r="AH479" s="72" t="s">
        <v>105</v>
      </c>
      <c r="AI479" s="72" t="s">
        <v>105</v>
      </c>
      <c r="AJ479" s="72" t="s">
        <v>98</v>
      </c>
      <c r="AK479" s="72" t="s">
        <v>98</v>
      </c>
      <c r="AL479" s="15" t="s">
        <v>133</v>
      </c>
    </row>
    <row r="480" spans="34:38" x14ac:dyDescent="0.4">
      <c r="AH480" s="72" t="s">
        <v>105</v>
      </c>
      <c r="AI480" s="72" t="s">
        <v>98</v>
      </c>
      <c r="AJ480" s="72" t="s">
        <v>101</v>
      </c>
      <c r="AK480" s="72" t="s">
        <v>101</v>
      </c>
      <c r="AL480" s="15" t="s">
        <v>102</v>
      </c>
    </row>
    <row r="481" spans="34:38" x14ac:dyDescent="0.4">
      <c r="AH481" s="72" t="s">
        <v>105</v>
      </c>
      <c r="AI481" s="72" t="s">
        <v>98</v>
      </c>
      <c r="AJ481" s="72" t="s">
        <v>101</v>
      </c>
      <c r="AK481" s="72" t="s">
        <v>100</v>
      </c>
      <c r="AL481" s="15" t="s">
        <v>102</v>
      </c>
    </row>
    <row r="482" spans="34:38" x14ac:dyDescent="0.4">
      <c r="AH482" s="72" t="s">
        <v>105</v>
      </c>
      <c r="AI482" s="72" t="s">
        <v>98</v>
      </c>
      <c r="AJ482" s="72" t="s">
        <v>101</v>
      </c>
      <c r="AK482" s="72" t="s">
        <v>108</v>
      </c>
      <c r="AL482" s="15" t="s">
        <v>102</v>
      </c>
    </row>
    <row r="483" spans="34:38" x14ac:dyDescent="0.4">
      <c r="AH483" s="72" t="s">
        <v>105</v>
      </c>
      <c r="AI483" s="72" t="s">
        <v>98</v>
      </c>
      <c r="AJ483" s="72" t="s">
        <v>101</v>
      </c>
      <c r="AK483" s="72" t="s">
        <v>105</v>
      </c>
      <c r="AL483" s="15" t="s">
        <v>102</v>
      </c>
    </row>
    <row r="484" spans="34:38" x14ac:dyDescent="0.4">
      <c r="AH484" s="72" t="s">
        <v>105</v>
      </c>
      <c r="AI484" s="72" t="s">
        <v>98</v>
      </c>
      <c r="AJ484" s="72" t="s">
        <v>101</v>
      </c>
      <c r="AK484" s="72" t="s">
        <v>98</v>
      </c>
      <c r="AL484" s="15" t="s">
        <v>102</v>
      </c>
    </row>
    <row r="485" spans="34:38" x14ac:dyDescent="0.4">
      <c r="AH485" s="72" t="s">
        <v>105</v>
      </c>
      <c r="AI485" s="72" t="s">
        <v>98</v>
      </c>
      <c r="AJ485" s="72" t="s">
        <v>100</v>
      </c>
      <c r="AK485" s="72" t="s">
        <v>101</v>
      </c>
      <c r="AL485" s="15" t="s">
        <v>102</v>
      </c>
    </row>
    <row r="486" spans="34:38" x14ac:dyDescent="0.4">
      <c r="AH486" s="72" t="s">
        <v>105</v>
      </c>
      <c r="AI486" s="72" t="s">
        <v>98</v>
      </c>
      <c r="AJ486" s="72" t="s">
        <v>100</v>
      </c>
      <c r="AK486" s="72" t="s">
        <v>100</v>
      </c>
      <c r="AL486" s="15" t="s">
        <v>102</v>
      </c>
    </row>
    <row r="487" spans="34:38" x14ac:dyDescent="0.4">
      <c r="AH487" s="72" t="s">
        <v>105</v>
      </c>
      <c r="AI487" s="72" t="s">
        <v>98</v>
      </c>
      <c r="AJ487" s="72" t="s">
        <v>100</v>
      </c>
      <c r="AK487" s="72" t="s">
        <v>108</v>
      </c>
      <c r="AL487" s="15" t="s">
        <v>102</v>
      </c>
    </row>
    <row r="488" spans="34:38" x14ac:dyDescent="0.4">
      <c r="AH488" s="72" t="s">
        <v>105</v>
      </c>
      <c r="AI488" s="72" t="s">
        <v>98</v>
      </c>
      <c r="AJ488" s="72" t="s">
        <v>100</v>
      </c>
      <c r="AK488" s="72" t="s">
        <v>105</v>
      </c>
      <c r="AL488" s="15" t="s">
        <v>102</v>
      </c>
    </row>
    <row r="489" spans="34:38" x14ac:dyDescent="0.4">
      <c r="AH489" s="72" t="s">
        <v>105</v>
      </c>
      <c r="AI489" s="72" t="s">
        <v>98</v>
      </c>
      <c r="AJ489" s="72" t="s">
        <v>100</v>
      </c>
      <c r="AK489" s="72" t="s">
        <v>98</v>
      </c>
      <c r="AL489" s="15" t="s">
        <v>102</v>
      </c>
    </row>
    <row r="490" spans="34:38" x14ac:dyDescent="0.4">
      <c r="AH490" s="72" t="s">
        <v>105</v>
      </c>
      <c r="AI490" s="72" t="s">
        <v>98</v>
      </c>
      <c r="AJ490" s="72" t="s">
        <v>108</v>
      </c>
      <c r="AK490" s="72" t="s">
        <v>101</v>
      </c>
      <c r="AL490" s="15" t="s">
        <v>102</v>
      </c>
    </row>
    <row r="491" spans="34:38" x14ac:dyDescent="0.4">
      <c r="AH491" s="72" t="s">
        <v>105</v>
      </c>
      <c r="AI491" s="72" t="s">
        <v>98</v>
      </c>
      <c r="AJ491" s="72" t="s">
        <v>108</v>
      </c>
      <c r="AK491" s="72" t="s">
        <v>100</v>
      </c>
      <c r="AL491" s="15" t="s">
        <v>102</v>
      </c>
    </row>
    <row r="492" spans="34:38" x14ac:dyDescent="0.4">
      <c r="AH492" s="72" t="s">
        <v>105</v>
      </c>
      <c r="AI492" s="72" t="s">
        <v>98</v>
      </c>
      <c r="AJ492" s="72" t="s">
        <v>108</v>
      </c>
      <c r="AK492" s="72" t="s">
        <v>108</v>
      </c>
      <c r="AL492" s="15" t="s">
        <v>102</v>
      </c>
    </row>
    <row r="493" spans="34:38" x14ac:dyDescent="0.4">
      <c r="AH493" s="72" t="s">
        <v>105</v>
      </c>
      <c r="AI493" s="72" t="s">
        <v>98</v>
      </c>
      <c r="AJ493" s="72" t="s">
        <v>108</v>
      </c>
      <c r="AK493" s="72" t="s">
        <v>105</v>
      </c>
      <c r="AL493" s="15" t="s">
        <v>102</v>
      </c>
    </row>
    <row r="494" spans="34:38" x14ac:dyDescent="0.4">
      <c r="AH494" s="72" t="s">
        <v>105</v>
      </c>
      <c r="AI494" s="72" t="s">
        <v>98</v>
      </c>
      <c r="AJ494" s="72" t="s">
        <v>108</v>
      </c>
      <c r="AK494" s="72" t="s">
        <v>98</v>
      </c>
      <c r="AL494" s="15" t="s">
        <v>102</v>
      </c>
    </row>
    <row r="495" spans="34:38" x14ac:dyDescent="0.4">
      <c r="AH495" s="72" t="s">
        <v>105</v>
      </c>
      <c r="AI495" s="72" t="s">
        <v>98</v>
      </c>
      <c r="AJ495" s="72" t="s">
        <v>105</v>
      </c>
      <c r="AK495" s="72" t="s">
        <v>101</v>
      </c>
      <c r="AL495" s="15" t="s">
        <v>102</v>
      </c>
    </row>
    <row r="496" spans="34:38" x14ac:dyDescent="0.4">
      <c r="AH496" s="72" t="s">
        <v>105</v>
      </c>
      <c r="AI496" s="72" t="s">
        <v>98</v>
      </c>
      <c r="AJ496" s="72" t="s">
        <v>105</v>
      </c>
      <c r="AK496" s="72" t="s">
        <v>100</v>
      </c>
      <c r="AL496" s="15" t="s">
        <v>102</v>
      </c>
    </row>
    <row r="497" spans="34:38" x14ac:dyDescent="0.4">
      <c r="AH497" s="72" t="s">
        <v>105</v>
      </c>
      <c r="AI497" s="72" t="s">
        <v>98</v>
      </c>
      <c r="AJ497" s="72" t="s">
        <v>105</v>
      </c>
      <c r="AK497" s="72" t="s">
        <v>108</v>
      </c>
      <c r="AL497" s="15" t="s">
        <v>102</v>
      </c>
    </row>
    <row r="498" spans="34:38" x14ac:dyDescent="0.4">
      <c r="AH498" s="72" t="s">
        <v>105</v>
      </c>
      <c r="AI498" s="72" t="s">
        <v>98</v>
      </c>
      <c r="AJ498" s="72" t="s">
        <v>105</v>
      </c>
      <c r="AK498" s="72" t="s">
        <v>105</v>
      </c>
      <c r="AL498" s="15" t="s">
        <v>133</v>
      </c>
    </row>
    <row r="499" spans="34:38" x14ac:dyDescent="0.4">
      <c r="AH499" s="72" t="s">
        <v>105</v>
      </c>
      <c r="AI499" s="72" t="s">
        <v>98</v>
      </c>
      <c r="AJ499" s="72" t="s">
        <v>105</v>
      </c>
      <c r="AK499" s="72" t="s">
        <v>98</v>
      </c>
      <c r="AL499" s="15" t="s">
        <v>133</v>
      </c>
    </row>
    <row r="500" spans="34:38" x14ac:dyDescent="0.4">
      <c r="AH500" s="72" t="s">
        <v>105</v>
      </c>
      <c r="AI500" s="72" t="s">
        <v>98</v>
      </c>
      <c r="AJ500" s="72" t="s">
        <v>98</v>
      </c>
      <c r="AK500" s="72" t="s">
        <v>101</v>
      </c>
      <c r="AL500" s="15" t="s">
        <v>102</v>
      </c>
    </row>
    <row r="501" spans="34:38" x14ac:dyDescent="0.4">
      <c r="AH501" s="72" t="s">
        <v>105</v>
      </c>
      <c r="AI501" s="72" t="s">
        <v>98</v>
      </c>
      <c r="AJ501" s="72" t="s">
        <v>98</v>
      </c>
      <c r="AK501" s="72" t="s">
        <v>100</v>
      </c>
      <c r="AL501" s="15" t="s">
        <v>102</v>
      </c>
    </row>
    <row r="502" spans="34:38" x14ac:dyDescent="0.4">
      <c r="AH502" s="72" t="s">
        <v>105</v>
      </c>
      <c r="AI502" s="72" t="s">
        <v>98</v>
      </c>
      <c r="AJ502" s="72" t="s">
        <v>98</v>
      </c>
      <c r="AK502" s="72" t="s">
        <v>108</v>
      </c>
      <c r="AL502" s="15" t="s">
        <v>102</v>
      </c>
    </row>
    <row r="503" spans="34:38" x14ac:dyDescent="0.4">
      <c r="AH503" s="72" t="s">
        <v>105</v>
      </c>
      <c r="AI503" s="72" t="s">
        <v>98</v>
      </c>
      <c r="AJ503" s="72" t="s">
        <v>98</v>
      </c>
      <c r="AK503" s="72" t="s">
        <v>105</v>
      </c>
      <c r="AL503" s="15" t="s">
        <v>133</v>
      </c>
    </row>
    <row r="504" spans="34:38" x14ac:dyDescent="0.4">
      <c r="AH504" s="72" t="s">
        <v>105</v>
      </c>
      <c r="AI504" s="72" t="s">
        <v>98</v>
      </c>
      <c r="AJ504" s="72" t="s">
        <v>98</v>
      </c>
      <c r="AK504" s="72" t="s">
        <v>98</v>
      </c>
      <c r="AL504" s="15" t="s">
        <v>133</v>
      </c>
    </row>
    <row r="505" spans="34:38" x14ac:dyDescent="0.4">
      <c r="AH505" s="72" t="s">
        <v>98</v>
      </c>
      <c r="AI505" s="72" t="s">
        <v>101</v>
      </c>
      <c r="AJ505" s="72" t="s">
        <v>101</v>
      </c>
      <c r="AK505" s="72" t="s">
        <v>101</v>
      </c>
      <c r="AL505" s="15" t="s">
        <v>102</v>
      </c>
    </row>
    <row r="506" spans="34:38" x14ac:dyDescent="0.4">
      <c r="AH506" s="72" t="s">
        <v>98</v>
      </c>
      <c r="AI506" s="72" t="s">
        <v>101</v>
      </c>
      <c r="AJ506" s="72" t="s">
        <v>101</v>
      </c>
      <c r="AK506" s="72" t="s">
        <v>100</v>
      </c>
      <c r="AL506" s="15" t="s">
        <v>102</v>
      </c>
    </row>
    <row r="507" spans="34:38" x14ac:dyDescent="0.4">
      <c r="AH507" s="72" t="s">
        <v>98</v>
      </c>
      <c r="AI507" s="72" t="s">
        <v>101</v>
      </c>
      <c r="AJ507" s="72" t="s">
        <v>101</v>
      </c>
      <c r="AK507" s="72" t="s">
        <v>108</v>
      </c>
      <c r="AL507" s="15" t="s">
        <v>102</v>
      </c>
    </row>
    <row r="508" spans="34:38" x14ac:dyDescent="0.4">
      <c r="AH508" s="72" t="s">
        <v>98</v>
      </c>
      <c r="AI508" s="72" t="s">
        <v>101</v>
      </c>
      <c r="AJ508" s="72" t="s">
        <v>101</v>
      </c>
      <c r="AK508" s="72" t="s">
        <v>105</v>
      </c>
      <c r="AL508" s="15" t="s">
        <v>102</v>
      </c>
    </row>
    <row r="509" spans="34:38" x14ac:dyDescent="0.4">
      <c r="AH509" s="72" t="s">
        <v>98</v>
      </c>
      <c r="AI509" s="72" t="s">
        <v>101</v>
      </c>
      <c r="AJ509" s="72" t="s">
        <v>101</v>
      </c>
      <c r="AK509" s="72" t="s">
        <v>98</v>
      </c>
      <c r="AL509" s="15" t="s">
        <v>102</v>
      </c>
    </row>
    <row r="510" spans="34:38" x14ac:dyDescent="0.4">
      <c r="AH510" s="72" t="s">
        <v>98</v>
      </c>
      <c r="AI510" s="72" t="s">
        <v>101</v>
      </c>
      <c r="AJ510" s="72" t="s">
        <v>100</v>
      </c>
      <c r="AK510" s="72" t="s">
        <v>101</v>
      </c>
      <c r="AL510" s="15" t="s">
        <v>102</v>
      </c>
    </row>
    <row r="511" spans="34:38" x14ac:dyDescent="0.4">
      <c r="AH511" s="72" t="s">
        <v>98</v>
      </c>
      <c r="AI511" s="72" t="s">
        <v>101</v>
      </c>
      <c r="AJ511" s="72" t="s">
        <v>100</v>
      </c>
      <c r="AK511" s="72" t="s">
        <v>100</v>
      </c>
      <c r="AL511" s="15" t="s">
        <v>102</v>
      </c>
    </row>
    <row r="512" spans="34:38" x14ac:dyDescent="0.4">
      <c r="AH512" s="72" t="s">
        <v>98</v>
      </c>
      <c r="AI512" s="72" t="s">
        <v>101</v>
      </c>
      <c r="AJ512" s="72" t="s">
        <v>100</v>
      </c>
      <c r="AK512" s="72" t="s">
        <v>108</v>
      </c>
      <c r="AL512" s="15" t="s">
        <v>102</v>
      </c>
    </row>
    <row r="513" spans="34:38" x14ac:dyDescent="0.4">
      <c r="AH513" s="72" t="s">
        <v>98</v>
      </c>
      <c r="AI513" s="72" t="s">
        <v>101</v>
      </c>
      <c r="AJ513" s="72" t="s">
        <v>100</v>
      </c>
      <c r="AK513" s="72" t="s">
        <v>105</v>
      </c>
      <c r="AL513" s="15" t="s">
        <v>102</v>
      </c>
    </row>
    <row r="514" spans="34:38" x14ac:dyDescent="0.4">
      <c r="AH514" s="72" t="s">
        <v>98</v>
      </c>
      <c r="AI514" s="72" t="s">
        <v>101</v>
      </c>
      <c r="AJ514" s="72" t="s">
        <v>100</v>
      </c>
      <c r="AK514" s="72" t="s">
        <v>98</v>
      </c>
      <c r="AL514" s="15" t="s">
        <v>102</v>
      </c>
    </row>
    <row r="515" spans="34:38" x14ac:dyDescent="0.4">
      <c r="AH515" s="72" t="s">
        <v>98</v>
      </c>
      <c r="AI515" s="72" t="s">
        <v>101</v>
      </c>
      <c r="AJ515" s="72" t="s">
        <v>108</v>
      </c>
      <c r="AK515" s="72" t="s">
        <v>101</v>
      </c>
      <c r="AL515" s="15" t="s">
        <v>102</v>
      </c>
    </row>
    <row r="516" spans="34:38" x14ac:dyDescent="0.4">
      <c r="AH516" s="72" t="s">
        <v>98</v>
      </c>
      <c r="AI516" s="72" t="s">
        <v>101</v>
      </c>
      <c r="AJ516" s="72" t="s">
        <v>108</v>
      </c>
      <c r="AK516" s="72" t="s">
        <v>100</v>
      </c>
      <c r="AL516" s="15" t="s">
        <v>102</v>
      </c>
    </row>
    <row r="517" spans="34:38" x14ac:dyDescent="0.4">
      <c r="AH517" s="72" t="s">
        <v>98</v>
      </c>
      <c r="AI517" s="72" t="s">
        <v>101</v>
      </c>
      <c r="AJ517" s="72" t="s">
        <v>108</v>
      </c>
      <c r="AK517" s="72" t="s">
        <v>108</v>
      </c>
      <c r="AL517" s="15" t="s">
        <v>102</v>
      </c>
    </row>
    <row r="518" spans="34:38" x14ac:dyDescent="0.4">
      <c r="AH518" s="72" t="s">
        <v>98</v>
      </c>
      <c r="AI518" s="72" t="s">
        <v>101</v>
      </c>
      <c r="AJ518" s="72" t="s">
        <v>108</v>
      </c>
      <c r="AK518" s="72" t="s">
        <v>105</v>
      </c>
      <c r="AL518" s="15" t="s">
        <v>102</v>
      </c>
    </row>
    <row r="519" spans="34:38" x14ac:dyDescent="0.4">
      <c r="AH519" s="72" t="s">
        <v>98</v>
      </c>
      <c r="AI519" s="72" t="s">
        <v>101</v>
      </c>
      <c r="AJ519" s="72" t="s">
        <v>108</v>
      </c>
      <c r="AK519" s="72" t="s">
        <v>98</v>
      </c>
      <c r="AL519" s="15" t="s">
        <v>102</v>
      </c>
    </row>
    <row r="520" spans="34:38" x14ac:dyDescent="0.4">
      <c r="AH520" s="72" t="s">
        <v>98</v>
      </c>
      <c r="AI520" s="72" t="s">
        <v>101</v>
      </c>
      <c r="AJ520" s="72" t="s">
        <v>105</v>
      </c>
      <c r="AK520" s="72" t="s">
        <v>101</v>
      </c>
      <c r="AL520" s="15" t="s">
        <v>102</v>
      </c>
    </row>
    <row r="521" spans="34:38" x14ac:dyDescent="0.4">
      <c r="AH521" s="72" t="s">
        <v>98</v>
      </c>
      <c r="AI521" s="72" t="s">
        <v>101</v>
      </c>
      <c r="AJ521" s="72" t="s">
        <v>105</v>
      </c>
      <c r="AK521" s="72" t="s">
        <v>100</v>
      </c>
      <c r="AL521" s="15" t="s">
        <v>102</v>
      </c>
    </row>
    <row r="522" spans="34:38" x14ac:dyDescent="0.4">
      <c r="AH522" s="72" t="s">
        <v>98</v>
      </c>
      <c r="AI522" s="72" t="s">
        <v>101</v>
      </c>
      <c r="AJ522" s="72" t="s">
        <v>105</v>
      </c>
      <c r="AK522" s="72" t="s">
        <v>108</v>
      </c>
      <c r="AL522" s="15" t="s">
        <v>102</v>
      </c>
    </row>
    <row r="523" spans="34:38" x14ac:dyDescent="0.4">
      <c r="AH523" s="72" t="s">
        <v>98</v>
      </c>
      <c r="AI523" s="72" t="s">
        <v>101</v>
      </c>
      <c r="AJ523" s="72" t="s">
        <v>105</v>
      </c>
      <c r="AK523" s="72" t="s">
        <v>105</v>
      </c>
      <c r="AL523" s="15" t="s">
        <v>102</v>
      </c>
    </row>
    <row r="524" spans="34:38" x14ac:dyDescent="0.4">
      <c r="AH524" s="72" t="s">
        <v>98</v>
      </c>
      <c r="AI524" s="72" t="s">
        <v>101</v>
      </c>
      <c r="AJ524" s="72" t="s">
        <v>105</v>
      </c>
      <c r="AK524" s="72" t="s">
        <v>98</v>
      </c>
      <c r="AL524" s="15" t="s">
        <v>102</v>
      </c>
    </row>
    <row r="525" spans="34:38" x14ac:dyDescent="0.4">
      <c r="AH525" s="72" t="s">
        <v>98</v>
      </c>
      <c r="AI525" s="72" t="s">
        <v>101</v>
      </c>
      <c r="AJ525" s="72" t="s">
        <v>98</v>
      </c>
      <c r="AK525" s="72" t="s">
        <v>101</v>
      </c>
      <c r="AL525" s="15" t="s">
        <v>102</v>
      </c>
    </row>
    <row r="526" spans="34:38" x14ac:dyDescent="0.4">
      <c r="AH526" s="72" t="s">
        <v>98</v>
      </c>
      <c r="AI526" s="72" t="s">
        <v>101</v>
      </c>
      <c r="AJ526" s="72" t="s">
        <v>98</v>
      </c>
      <c r="AK526" s="72" t="s">
        <v>100</v>
      </c>
      <c r="AL526" s="15" t="s">
        <v>102</v>
      </c>
    </row>
    <row r="527" spans="34:38" x14ac:dyDescent="0.4">
      <c r="AH527" s="72" t="s">
        <v>98</v>
      </c>
      <c r="AI527" s="72" t="s">
        <v>101</v>
      </c>
      <c r="AJ527" s="72" t="s">
        <v>98</v>
      </c>
      <c r="AK527" s="72" t="s">
        <v>108</v>
      </c>
      <c r="AL527" s="15" t="s">
        <v>102</v>
      </c>
    </row>
    <row r="528" spans="34:38" x14ac:dyDescent="0.4">
      <c r="AH528" s="72" t="s">
        <v>98</v>
      </c>
      <c r="AI528" s="72" t="s">
        <v>101</v>
      </c>
      <c r="AJ528" s="72" t="s">
        <v>98</v>
      </c>
      <c r="AK528" s="72" t="s">
        <v>105</v>
      </c>
      <c r="AL528" s="15" t="s">
        <v>102</v>
      </c>
    </row>
    <row r="529" spans="34:38" x14ac:dyDescent="0.4">
      <c r="AH529" s="72" t="s">
        <v>98</v>
      </c>
      <c r="AI529" s="72" t="s">
        <v>101</v>
      </c>
      <c r="AJ529" s="72" t="s">
        <v>98</v>
      </c>
      <c r="AK529" s="72" t="s">
        <v>98</v>
      </c>
      <c r="AL529" s="15" t="s">
        <v>102</v>
      </c>
    </row>
    <row r="530" spans="34:38" x14ac:dyDescent="0.4">
      <c r="AH530" s="72" t="s">
        <v>98</v>
      </c>
      <c r="AI530" s="72" t="s">
        <v>100</v>
      </c>
      <c r="AJ530" s="72" t="s">
        <v>101</v>
      </c>
      <c r="AK530" s="72" t="s">
        <v>101</v>
      </c>
      <c r="AL530" s="15" t="s">
        <v>102</v>
      </c>
    </row>
    <row r="531" spans="34:38" x14ac:dyDescent="0.4">
      <c r="AH531" s="72" t="s">
        <v>98</v>
      </c>
      <c r="AI531" s="72" t="s">
        <v>100</v>
      </c>
      <c r="AJ531" s="72" t="s">
        <v>101</v>
      </c>
      <c r="AK531" s="72" t="s">
        <v>100</v>
      </c>
      <c r="AL531" s="15" t="s">
        <v>102</v>
      </c>
    </row>
    <row r="532" spans="34:38" x14ac:dyDescent="0.4">
      <c r="AH532" s="72" t="s">
        <v>98</v>
      </c>
      <c r="AI532" s="72" t="s">
        <v>100</v>
      </c>
      <c r="AJ532" s="72" t="s">
        <v>101</v>
      </c>
      <c r="AK532" s="72" t="s">
        <v>108</v>
      </c>
      <c r="AL532" s="15" t="s">
        <v>102</v>
      </c>
    </row>
    <row r="533" spans="34:38" x14ac:dyDescent="0.4">
      <c r="AH533" s="72" t="s">
        <v>98</v>
      </c>
      <c r="AI533" s="72" t="s">
        <v>100</v>
      </c>
      <c r="AJ533" s="72" t="s">
        <v>101</v>
      </c>
      <c r="AK533" s="72" t="s">
        <v>105</v>
      </c>
      <c r="AL533" s="15" t="s">
        <v>102</v>
      </c>
    </row>
    <row r="534" spans="34:38" x14ac:dyDescent="0.4">
      <c r="AH534" s="72" t="s">
        <v>98</v>
      </c>
      <c r="AI534" s="72" t="s">
        <v>100</v>
      </c>
      <c r="AJ534" s="72" t="s">
        <v>101</v>
      </c>
      <c r="AK534" s="72" t="s">
        <v>98</v>
      </c>
      <c r="AL534" s="15" t="s">
        <v>102</v>
      </c>
    </row>
    <row r="535" spans="34:38" x14ac:dyDescent="0.4">
      <c r="AH535" s="72" t="s">
        <v>98</v>
      </c>
      <c r="AI535" s="72" t="s">
        <v>100</v>
      </c>
      <c r="AJ535" s="72" t="s">
        <v>100</v>
      </c>
      <c r="AK535" s="72" t="s">
        <v>101</v>
      </c>
      <c r="AL535" s="15" t="s">
        <v>102</v>
      </c>
    </row>
    <row r="536" spans="34:38" x14ac:dyDescent="0.4">
      <c r="AH536" s="72" t="s">
        <v>98</v>
      </c>
      <c r="AI536" s="72" t="s">
        <v>100</v>
      </c>
      <c r="AJ536" s="72" t="s">
        <v>100</v>
      </c>
      <c r="AK536" s="72" t="s">
        <v>100</v>
      </c>
      <c r="AL536" s="15" t="s">
        <v>102</v>
      </c>
    </row>
    <row r="537" spans="34:38" x14ac:dyDescent="0.4">
      <c r="AH537" s="72" t="s">
        <v>98</v>
      </c>
      <c r="AI537" s="72" t="s">
        <v>100</v>
      </c>
      <c r="AJ537" s="72" t="s">
        <v>100</v>
      </c>
      <c r="AK537" s="72" t="s">
        <v>108</v>
      </c>
      <c r="AL537" s="15" t="s">
        <v>102</v>
      </c>
    </row>
    <row r="538" spans="34:38" x14ac:dyDescent="0.4">
      <c r="AH538" s="72" t="s">
        <v>98</v>
      </c>
      <c r="AI538" s="72" t="s">
        <v>100</v>
      </c>
      <c r="AJ538" s="72" t="s">
        <v>100</v>
      </c>
      <c r="AK538" s="72" t="s">
        <v>105</v>
      </c>
      <c r="AL538" s="15" t="s">
        <v>102</v>
      </c>
    </row>
    <row r="539" spans="34:38" x14ac:dyDescent="0.4">
      <c r="AH539" s="72" t="s">
        <v>98</v>
      </c>
      <c r="AI539" s="72" t="s">
        <v>100</v>
      </c>
      <c r="AJ539" s="72" t="s">
        <v>100</v>
      </c>
      <c r="AK539" s="72" t="s">
        <v>98</v>
      </c>
      <c r="AL539" s="15" t="s">
        <v>102</v>
      </c>
    </row>
    <row r="540" spans="34:38" x14ac:dyDescent="0.4">
      <c r="AH540" s="72" t="s">
        <v>98</v>
      </c>
      <c r="AI540" s="72" t="s">
        <v>100</v>
      </c>
      <c r="AJ540" s="72" t="s">
        <v>108</v>
      </c>
      <c r="AK540" s="72" t="s">
        <v>101</v>
      </c>
      <c r="AL540" s="15" t="s">
        <v>102</v>
      </c>
    </row>
    <row r="541" spans="34:38" x14ac:dyDescent="0.4">
      <c r="AH541" s="72" t="s">
        <v>98</v>
      </c>
      <c r="AI541" s="72" t="s">
        <v>100</v>
      </c>
      <c r="AJ541" s="72" t="s">
        <v>108</v>
      </c>
      <c r="AK541" s="72" t="s">
        <v>100</v>
      </c>
      <c r="AL541" s="15" t="s">
        <v>102</v>
      </c>
    </row>
    <row r="542" spans="34:38" x14ac:dyDescent="0.4">
      <c r="AH542" s="72" t="s">
        <v>98</v>
      </c>
      <c r="AI542" s="72" t="s">
        <v>100</v>
      </c>
      <c r="AJ542" s="72" t="s">
        <v>108</v>
      </c>
      <c r="AK542" s="72" t="s">
        <v>108</v>
      </c>
      <c r="AL542" s="15" t="s">
        <v>102</v>
      </c>
    </row>
    <row r="543" spans="34:38" x14ac:dyDescent="0.4">
      <c r="AH543" s="72" t="s">
        <v>98</v>
      </c>
      <c r="AI543" s="72" t="s">
        <v>100</v>
      </c>
      <c r="AJ543" s="72" t="s">
        <v>108</v>
      </c>
      <c r="AK543" s="72" t="s">
        <v>105</v>
      </c>
      <c r="AL543" s="15" t="s">
        <v>102</v>
      </c>
    </row>
    <row r="544" spans="34:38" x14ac:dyDescent="0.4">
      <c r="AH544" s="72" t="s">
        <v>98</v>
      </c>
      <c r="AI544" s="72" t="s">
        <v>100</v>
      </c>
      <c r="AJ544" s="72" t="s">
        <v>108</v>
      </c>
      <c r="AK544" s="72" t="s">
        <v>98</v>
      </c>
      <c r="AL544" s="15" t="s">
        <v>102</v>
      </c>
    </row>
    <row r="545" spans="34:38" x14ac:dyDescent="0.4">
      <c r="AH545" s="72" t="s">
        <v>98</v>
      </c>
      <c r="AI545" s="72" t="s">
        <v>100</v>
      </c>
      <c r="AJ545" s="72" t="s">
        <v>105</v>
      </c>
      <c r="AK545" s="72" t="s">
        <v>101</v>
      </c>
      <c r="AL545" s="15" t="s">
        <v>102</v>
      </c>
    </row>
    <row r="546" spans="34:38" x14ac:dyDescent="0.4">
      <c r="AH546" s="72" t="s">
        <v>98</v>
      </c>
      <c r="AI546" s="72" t="s">
        <v>100</v>
      </c>
      <c r="AJ546" s="72" t="s">
        <v>105</v>
      </c>
      <c r="AK546" s="72" t="s">
        <v>100</v>
      </c>
      <c r="AL546" s="15" t="s">
        <v>102</v>
      </c>
    </row>
    <row r="547" spans="34:38" x14ac:dyDescent="0.4">
      <c r="AH547" s="72" t="s">
        <v>98</v>
      </c>
      <c r="AI547" s="72" t="s">
        <v>100</v>
      </c>
      <c r="AJ547" s="72" t="s">
        <v>105</v>
      </c>
      <c r="AK547" s="72" t="s">
        <v>108</v>
      </c>
      <c r="AL547" s="15" t="s">
        <v>102</v>
      </c>
    </row>
    <row r="548" spans="34:38" x14ac:dyDescent="0.4">
      <c r="AH548" s="72" t="s">
        <v>98</v>
      </c>
      <c r="AI548" s="72" t="s">
        <v>100</v>
      </c>
      <c r="AJ548" s="72" t="s">
        <v>105</v>
      </c>
      <c r="AK548" s="72" t="s">
        <v>105</v>
      </c>
      <c r="AL548" s="15" t="s">
        <v>102</v>
      </c>
    </row>
    <row r="549" spans="34:38" x14ac:dyDescent="0.4">
      <c r="AH549" s="72" t="s">
        <v>98</v>
      </c>
      <c r="AI549" s="72" t="s">
        <v>100</v>
      </c>
      <c r="AJ549" s="72" t="s">
        <v>105</v>
      </c>
      <c r="AK549" s="72" t="s">
        <v>98</v>
      </c>
      <c r="AL549" s="15" t="s">
        <v>102</v>
      </c>
    </row>
    <row r="550" spans="34:38" x14ac:dyDescent="0.4">
      <c r="AH550" s="72" t="s">
        <v>98</v>
      </c>
      <c r="AI550" s="72" t="s">
        <v>100</v>
      </c>
      <c r="AJ550" s="72" t="s">
        <v>98</v>
      </c>
      <c r="AK550" s="72" t="s">
        <v>101</v>
      </c>
      <c r="AL550" s="15" t="s">
        <v>102</v>
      </c>
    </row>
    <row r="551" spans="34:38" x14ac:dyDescent="0.4">
      <c r="AH551" s="72" t="s">
        <v>98</v>
      </c>
      <c r="AI551" s="72" t="s">
        <v>100</v>
      </c>
      <c r="AJ551" s="72" t="s">
        <v>98</v>
      </c>
      <c r="AK551" s="72" t="s">
        <v>100</v>
      </c>
      <c r="AL551" s="15" t="s">
        <v>102</v>
      </c>
    </row>
    <row r="552" spans="34:38" x14ac:dyDescent="0.4">
      <c r="AH552" s="72" t="s">
        <v>98</v>
      </c>
      <c r="AI552" s="72" t="s">
        <v>100</v>
      </c>
      <c r="AJ552" s="72" t="s">
        <v>98</v>
      </c>
      <c r="AK552" s="72" t="s">
        <v>108</v>
      </c>
      <c r="AL552" s="15" t="s">
        <v>102</v>
      </c>
    </row>
    <row r="553" spans="34:38" x14ac:dyDescent="0.4">
      <c r="AH553" s="72" t="s">
        <v>98</v>
      </c>
      <c r="AI553" s="72" t="s">
        <v>100</v>
      </c>
      <c r="AJ553" s="72" t="s">
        <v>98</v>
      </c>
      <c r="AK553" s="72" t="s">
        <v>105</v>
      </c>
      <c r="AL553" s="15" t="s">
        <v>102</v>
      </c>
    </row>
    <row r="554" spans="34:38" x14ac:dyDescent="0.4">
      <c r="AH554" s="72" t="s">
        <v>98</v>
      </c>
      <c r="AI554" s="72" t="s">
        <v>100</v>
      </c>
      <c r="AJ554" s="72" t="s">
        <v>98</v>
      </c>
      <c r="AK554" s="72" t="s">
        <v>98</v>
      </c>
      <c r="AL554" s="15" t="s">
        <v>102</v>
      </c>
    </row>
    <row r="555" spans="34:38" x14ac:dyDescent="0.4">
      <c r="AH555" s="72" t="s">
        <v>98</v>
      </c>
      <c r="AI555" s="72" t="s">
        <v>108</v>
      </c>
      <c r="AJ555" s="72" t="s">
        <v>101</v>
      </c>
      <c r="AK555" s="72" t="s">
        <v>101</v>
      </c>
      <c r="AL555" s="15" t="s">
        <v>102</v>
      </c>
    </row>
    <row r="556" spans="34:38" x14ac:dyDescent="0.4">
      <c r="AH556" s="72" t="s">
        <v>98</v>
      </c>
      <c r="AI556" s="72" t="s">
        <v>108</v>
      </c>
      <c r="AJ556" s="72" t="s">
        <v>101</v>
      </c>
      <c r="AK556" s="72" t="s">
        <v>100</v>
      </c>
      <c r="AL556" s="15" t="s">
        <v>102</v>
      </c>
    </row>
    <row r="557" spans="34:38" x14ac:dyDescent="0.4">
      <c r="AH557" s="72" t="s">
        <v>98</v>
      </c>
      <c r="AI557" s="72" t="s">
        <v>108</v>
      </c>
      <c r="AJ557" s="72" t="s">
        <v>101</v>
      </c>
      <c r="AK557" s="72" t="s">
        <v>108</v>
      </c>
      <c r="AL557" s="15" t="s">
        <v>102</v>
      </c>
    </row>
    <row r="558" spans="34:38" x14ac:dyDescent="0.4">
      <c r="AH558" s="72" t="s">
        <v>98</v>
      </c>
      <c r="AI558" s="72" t="s">
        <v>108</v>
      </c>
      <c r="AJ558" s="72" t="s">
        <v>101</v>
      </c>
      <c r="AK558" s="72" t="s">
        <v>105</v>
      </c>
      <c r="AL558" s="15" t="s">
        <v>102</v>
      </c>
    </row>
    <row r="559" spans="34:38" x14ac:dyDescent="0.4">
      <c r="AH559" s="72" t="s">
        <v>98</v>
      </c>
      <c r="AI559" s="72" t="s">
        <v>108</v>
      </c>
      <c r="AJ559" s="72" t="s">
        <v>101</v>
      </c>
      <c r="AK559" s="72" t="s">
        <v>98</v>
      </c>
      <c r="AL559" s="15" t="s">
        <v>102</v>
      </c>
    </row>
    <row r="560" spans="34:38" x14ac:dyDescent="0.4">
      <c r="AH560" s="72" t="s">
        <v>98</v>
      </c>
      <c r="AI560" s="72" t="s">
        <v>108</v>
      </c>
      <c r="AJ560" s="72" t="s">
        <v>100</v>
      </c>
      <c r="AK560" s="72" t="s">
        <v>101</v>
      </c>
      <c r="AL560" s="15" t="s">
        <v>102</v>
      </c>
    </row>
    <row r="561" spans="34:38" x14ac:dyDescent="0.4">
      <c r="AH561" s="72" t="s">
        <v>98</v>
      </c>
      <c r="AI561" s="72" t="s">
        <v>108</v>
      </c>
      <c r="AJ561" s="72" t="s">
        <v>100</v>
      </c>
      <c r="AK561" s="72" t="s">
        <v>100</v>
      </c>
      <c r="AL561" s="15" t="s">
        <v>102</v>
      </c>
    </row>
    <row r="562" spans="34:38" x14ac:dyDescent="0.4">
      <c r="AH562" s="72" t="s">
        <v>98</v>
      </c>
      <c r="AI562" s="72" t="s">
        <v>108</v>
      </c>
      <c r="AJ562" s="72" t="s">
        <v>100</v>
      </c>
      <c r="AK562" s="72" t="s">
        <v>108</v>
      </c>
      <c r="AL562" s="15" t="s">
        <v>102</v>
      </c>
    </row>
    <row r="563" spans="34:38" x14ac:dyDescent="0.4">
      <c r="AH563" s="72" t="s">
        <v>98</v>
      </c>
      <c r="AI563" s="72" t="s">
        <v>108</v>
      </c>
      <c r="AJ563" s="72" t="s">
        <v>100</v>
      </c>
      <c r="AK563" s="72" t="s">
        <v>105</v>
      </c>
      <c r="AL563" s="15" t="s">
        <v>102</v>
      </c>
    </row>
    <row r="564" spans="34:38" x14ac:dyDescent="0.4">
      <c r="AH564" s="72" t="s">
        <v>98</v>
      </c>
      <c r="AI564" s="72" t="s">
        <v>108</v>
      </c>
      <c r="AJ564" s="72" t="s">
        <v>100</v>
      </c>
      <c r="AK564" s="72" t="s">
        <v>98</v>
      </c>
      <c r="AL564" s="15" t="s">
        <v>102</v>
      </c>
    </row>
    <row r="565" spans="34:38" x14ac:dyDescent="0.4">
      <c r="AH565" s="72" t="s">
        <v>98</v>
      </c>
      <c r="AI565" s="72" t="s">
        <v>108</v>
      </c>
      <c r="AJ565" s="72" t="s">
        <v>108</v>
      </c>
      <c r="AK565" s="72" t="s">
        <v>101</v>
      </c>
      <c r="AL565" s="15" t="s">
        <v>102</v>
      </c>
    </row>
    <row r="566" spans="34:38" x14ac:dyDescent="0.4">
      <c r="AH566" s="72" t="s">
        <v>98</v>
      </c>
      <c r="AI566" s="72" t="s">
        <v>108</v>
      </c>
      <c r="AJ566" s="72" t="s">
        <v>108</v>
      </c>
      <c r="AK566" s="72" t="s">
        <v>100</v>
      </c>
      <c r="AL566" s="15" t="s">
        <v>102</v>
      </c>
    </row>
    <row r="567" spans="34:38" x14ac:dyDescent="0.4">
      <c r="AH567" s="72" t="s">
        <v>98</v>
      </c>
      <c r="AI567" s="72" t="s">
        <v>108</v>
      </c>
      <c r="AJ567" s="72" t="s">
        <v>108</v>
      </c>
      <c r="AK567" s="72" t="s">
        <v>108</v>
      </c>
      <c r="AL567" s="15" t="s">
        <v>102</v>
      </c>
    </row>
    <row r="568" spans="34:38" x14ac:dyDescent="0.4">
      <c r="AH568" s="72" t="s">
        <v>98</v>
      </c>
      <c r="AI568" s="72" t="s">
        <v>108</v>
      </c>
      <c r="AJ568" s="72" t="s">
        <v>108</v>
      </c>
      <c r="AK568" s="72" t="s">
        <v>105</v>
      </c>
      <c r="AL568" s="15" t="s">
        <v>102</v>
      </c>
    </row>
    <row r="569" spans="34:38" x14ac:dyDescent="0.4">
      <c r="AH569" s="72" t="s">
        <v>98</v>
      </c>
      <c r="AI569" s="72" t="s">
        <v>108</v>
      </c>
      <c r="AJ569" s="72" t="s">
        <v>108</v>
      </c>
      <c r="AK569" s="72" t="s">
        <v>98</v>
      </c>
      <c r="AL569" s="15" t="s">
        <v>102</v>
      </c>
    </row>
    <row r="570" spans="34:38" x14ac:dyDescent="0.4">
      <c r="AH570" s="72" t="s">
        <v>98</v>
      </c>
      <c r="AI570" s="72" t="s">
        <v>108</v>
      </c>
      <c r="AJ570" s="72" t="s">
        <v>105</v>
      </c>
      <c r="AK570" s="72" t="s">
        <v>101</v>
      </c>
      <c r="AL570" s="15" t="s">
        <v>102</v>
      </c>
    </row>
    <row r="571" spans="34:38" x14ac:dyDescent="0.4">
      <c r="AH571" s="72" t="s">
        <v>98</v>
      </c>
      <c r="AI571" s="72" t="s">
        <v>108</v>
      </c>
      <c r="AJ571" s="72" t="s">
        <v>105</v>
      </c>
      <c r="AK571" s="72" t="s">
        <v>100</v>
      </c>
      <c r="AL571" s="15" t="s">
        <v>102</v>
      </c>
    </row>
    <row r="572" spans="34:38" x14ac:dyDescent="0.4">
      <c r="AH572" s="72" t="s">
        <v>98</v>
      </c>
      <c r="AI572" s="72" t="s">
        <v>108</v>
      </c>
      <c r="AJ572" s="72" t="s">
        <v>105</v>
      </c>
      <c r="AK572" s="72" t="s">
        <v>108</v>
      </c>
      <c r="AL572" s="15" t="s">
        <v>102</v>
      </c>
    </row>
    <row r="573" spans="34:38" x14ac:dyDescent="0.4">
      <c r="AH573" s="72" t="s">
        <v>98</v>
      </c>
      <c r="AI573" s="72" t="s">
        <v>108</v>
      </c>
      <c r="AJ573" s="72" t="s">
        <v>105</v>
      </c>
      <c r="AK573" s="72" t="s">
        <v>105</v>
      </c>
      <c r="AL573" s="15" t="s">
        <v>102</v>
      </c>
    </row>
    <row r="574" spans="34:38" x14ac:dyDescent="0.4">
      <c r="AH574" s="72" t="s">
        <v>98</v>
      </c>
      <c r="AI574" s="72" t="s">
        <v>108</v>
      </c>
      <c r="AJ574" s="72" t="s">
        <v>105</v>
      </c>
      <c r="AK574" s="72" t="s">
        <v>98</v>
      </c>
      <c r="AL574" s="15" t="s">
        <v>133</v>
      </c>
    </row>
    <row r="575" spans="34:38" x14ac:dyDescent="0.4">
      <c r="AH575" s="72" t="s">
        <v>98</v>
      </c>
      <c r="AI575" s="72" t="s">
        <v>108</v>
      </c>
      <c r="AJ575" s="72" t="s">
        <v>98</v>
      </c>
      <c r="AK575" s="72" t="s">
        <v>101</v>
      </c>
      <c r="AL575" s="15" t="s">
        <v>102</v>
      </c>
    </row>
    <row r="576" spans="34:38" x14ac:dyDescent="0.4">
      <c r="AH576" s="72" t="s">
        <v>98</v>
      </c>
      <c r="AI576" s="72" t="s">
        <v>108</v>
      </c>
      <c r="AJ576" s="72" t="s">
        <v>98</v>
      </c>
      <c r="AK576" s="72" t="s">
        <v>100</v>
      </c>
      <c r="AL576" s="15" t="s">
        <v>102</v>
      </c>
    </row>
    <row r="577" spans="34:38" x14ac:dyDescent="0.4">
      <c r="AH577" s="72" t="s">
        <v>98</v>
      </c>
      <c r="AI577" s="72" t="s">
        <v>108</v>
      </c>
      <c r="AJ577" s="72" t="s">
        <v>98</v>
      </c>
      <c r="AK577" s="72" t="s">
        <v>108</v>
      </c>
      <c r="AL577" s="15" t="s">
        <v>102</v>
      </c>
    </row>
    <row r="578" spans="34:38" x14ac:dyDescent="0.4">
      <c r="AH578" s="72" t="s">
        <v>98</v>
      </c>
      <c r="AI578" s="72" t="s">
        <v>108</v>
      </c>
      <c r="AJ578" s="72" t="s">
        <v>98</v>
      </c>
      <c r="AK578" s="72" t="s">
        <v>105</v>
      </c>
      <c r="AL578" s="15" t="s">
        <v>102</v>
      </c>
    </row>
    <row r="579" spans="34:38" x14ac:dyDescent="0.4">
      <c r="AH579" s="72" t="s">
        <v>98</v>
      </c>
      <c r="AI579" s="72" t="s">
        <v>108</v>
      </c>
      <c r="AJ579" s="72" t="s">
        <v>98</v>
      </c>
      <c r="AK579" s="72" t="s">
        <v>98</v>
      </c>
      <c r="AL579" s="15" t="s">
        <v>133</v>
      </c>
    </row>
    <row r="580" spans="34:38" x14ac:dyDescent="0.4">
      <c r="AH580" s="72" t="s">
        <v>98</v>
      </c>
      <c r="AI580" s="72" t="s">
        <v>105</v>
      </c>
      <c r="AJ580" s="72" t="s">
        <v>101</v>
      </c>
      <c r="AK580" s="72" t="s">
        <v>101</v>
      </c>
      <c r="AL580" s="15" t="s">
        <v>102</v>
      </c>
    </row>
    <row r="581" spans="34:38" x14ac:dyDescent="0.4">
      <c r="AH581" s="72" t="s">
        <v>98</v>
      </c>
      <c r="AI581" s="72" t="s">
        <v>105</v>
      </c>
      <c r="AJ581" s="72" t="s">
        <v>101</v>
      </c>
      <c r="AK581" s="72" t="s">
        <v>100</v>
      </c>
      <c r="AL581" s="15" t="s">
        <v>102</v>
      </c>
    </row>
    <row r="582" spans="34:38" x14ac:dyDescent="0.4">
      <c r="AH582" s="72" t="s">
        <v>98</v>
      </c>
      <c r="AI582" s="72" t="s">
        <v>105</v>
      </c>
      <c r="AJ582" s="72" t="s">
        <v>101</v>
      </c>
      <c r="AK582" s="72" t="s">
        <v>108</v>
      </c>
      <c r="AL582" s="15" t="s">
        <v>102</v>
      </c>
    </row>
    <row r="583" spans="34:38" x14ac:dyDescent="0.4">
      <c r="AH583" s="72" t="s">
        <v>98</v>
      </c>
      <c r="AI583" s="72" t="s">
        <v>105</v>
      </c>
      <c r="AJ583" s="72" t="s">
        <v>101</v>
      </c>
      <c r="AK583" s="72" t="s">
        <v>105</v>
      </c>
      <c r="AL583" s="15" t="s">
        <v>102</v>
      </c>
    </row>
    <row r="584" spans="34:38" x14ac:dyDescent="0.4">
      <c r="AH584" s="72" t="s">
        <v>98</v>
      </c>
      <c r="AI584" s="72" t="s">
        <v>105</v>
      </c>
      <c r="AJ584" s="72" t="s">
        <v>101</v>
      </c>
      <c r="AK584" s="72" t="s">
        <v>98</v>
      </c>
      <c r="AL584" s="15" t="s">
        <v>102</v>
      </c>
    </row>
    <row r="585" spans="34:38" x14ac:dyDescent="0.4">
      <c r="AH585" s="72" t="s">
        <v>98</v>
      </c>
      <c r="AI585" s="72" t="s">
        <v>105</v>
      </c>
      <c r="AJ585" s="72" t="s">
        <v>100</v>
      </c>
      <c r="AK585" s="72" t="s">
        <v>101</v>
      </c>
      <c r="AL585" s="15" t="s">
        <v>102</v>
      </c>
    </row>
    <row r="586" spans="34:38" x14ac:dyDescent="0.4">
      <c r="AH586" s="72" t="s">
        <v>98</v>
      </c>
      <c r="AI586" s="72" t="s">
        <v>105</v>
      </c>
      <c r="AJ586" s="72" t="s">
        <v>100</v>
      </c>
      <c r="AK586" s="72" t="s">
        <v>100</v>
      </c>
      <c r="AL586" s="15" t="s">
        <v>102</v>
      </c>
    </row>
    <row r="587" spans="34:38" x14ac:dyDescent="0.4">
      <c r="AH587" s="72" t="s">
        <v>98</v>
      </c>
      <c r="AI587" s="72" t="s">
        <v>105</v>
      </c>
      <c r="AJ587" s="72" t="s">
        <v>100</v>
      </c>
      <c r="AK587" s="72" t="s">
        <v>108</v>
      </c>
      <c r="AL587" s="15" t="s">
        <v>102</v>
      </c>
    </row>
    <row r="588" spans="34:38" x14ac:dyDescent="0.4">
      <c r="AH588" s="72" t="s">
        <v>98</v>
      </c>
      <c r="AI588" s="72" t="s">
        <v>105</v>
      </c>
      <c r="AJ588" s="72" t="s">
        <v>100</v>
      </c>
      <c r="AK588" s="72" t="s">
        <v>105</v>
      </c>
      <c r="AL588" s="15" t="s">
        <v>102</v>
      </c>
    </row>
    <row r="589" spans="34:38" x14ac:dyDescent="0.4">
      <c r="AH589" s="72" t="s">
        <v>98</v>
      </c>
      <c r="AI589" s="72" t="s">
        <v>105</v>
      </c>
      <c r="AJ589" s="72" t="s">
        <v>100</v>
      </c>
      <c r="AK589" s="72" t="s">
        <v>98</v>
      </c>
      <c r="AL589" s="15" t="s">
        <v>102</v>
      </c>
    </row>
    <row r="590" spans="34:38" x14ac:dyDescent="0.4">
      <c r="AH590" s="72" t="s">
        <v>98</v>
      </c>
      <c r="AI590" s="72" t="s">
        <v>105</v>
      </c>
      <c r="AJ590" s="72" t="s">
        <v>108</v>
      </c>
      <c r="AK590" s="72" t="s">
        <v>101</v>
      </c>
      <c r="AL590" s="15" t="s">
        <v>102</v>
      </c>
    </row>
    <row r="591" spans="34:38" x14ac:dyDescent="0.4">
      <c r="AH591" s="72" t="s">
        <v>98</v>
      </c>
      <c r="AI591" s="72" t="s">
        <v>105</v>
      </c>
      <c r="AJ591" s="72" t="s">
        <v>108</v>
      </c>
      <c r="AK591" s="72" t="s">
        <v>100</v>
      </c>
      <c r="AL591" s="15" t="s">
        <v>102</v>
      </c>
    </row>
    <row r="592" spans="34:38" x14ac:dyDescent="0.4">
      <c r="AH592" s="72" t="s">
        <v>98</v>
      </c>
      <c r="AI592" s="72" t="s">
        <v>105</v>
      </c>
      <c r="AJ592" s="72" t="s">
        <v>108</v>
      </c>
      <c r="AK592" s="72" t="s">
        <v>108</v>
      </c>
      <c r="AL592" s="15" t="s">
        <v>102</v>
      </c>
    </row>
    <row r="593" spans="34:38" x14ac:dyDescent="0.4">
      <c r="AH593" s="72" t="s">
        <v>98</v>
      </c>
      <c r="AI593" s="72" t="s">
        <v>105</v>
      </c>
      <c r="AJ593" s="72" t="s">
        <v>108</v>
      </c>
      <c r="AK593" s="72" t="s">
        <v>105</v>
      </c>
      <c r="AL593" s="15" t="s">
        <v>102</v>
      </c>
    </row>
    <row r="594" spans="34:38" x14ac:dyDescent="0.4">
      <c r="AH594" s="72" t="s">
        <v>98</v>
      </c>
      <c r="AI594" s="72" t="s">
        <v>105</v>
      </c>
      <c r="AJ594" s="72" t="s">
        <v>108</v>
      </c>
      <c r="AK594" s="72" t="s">
        <v>98</v>
      </c>
      <c r="AL594" s="15" t="s">
        <v>102</v>
      </c>
    </row>
    <row r="595" spans="34:38" x14ac:dyDescent="0.4">
      <c r="AH595" s="72" t="s">
        <v>98</v>
      </c>
      <c r="AI595" s="72" t="s">
        <v>105</v>
      </c>
      <c r="AJ595" s="72" t="s">
        <v>105</v>
      </c>
      <c r="AK595" s="72" t="s">
        <v>101</v>
      </c>
      <c r="AL595" s="15" t="s">
        <v>102</v>
      </c>
    </row>
    <row r="596" spans="34:38" x14ac:dyDescent="0.4">
      <c r="AH596" s="72" t="s">
        <v>98</v>
      </c>
      <c r="AI596" s="72" t="s">
        <v>105</v>
      </c>
      <c r="AJ596" s="72" t="s">
        <v>105</v>
      </c>
      <c r="AK596" s="72" t="s">
        <v>100</v>
      </c>
      <c r="AL596" s="15" t="s">
        <v>102</v>
      </c>
    </row>
    <row r="597" spans="34:38" x14ac:dyDescent="0.4">
      <c r="AH597" s="72" t="s">
        <v>98</v>
      </c>
      <c r="AI597" s="72" t="s">
        <v>105</v>
      </c>
      <c r="AJ597" s="72" t="s">
        <v>105</v>
      </c>
      <c r="AK597" s="72" t="s">
        <v>108</v>
      </c>
      <c r="AL597" s="15" t="s">
        <v>102</v>
      </c>
    </row>
    <row r="598" spans="34:38" x14ac:dyDescent="0.4">
      <c r="AH598" s="72" t="s">
        <v>98</v>
      </c>
      <c r="AI598" s="72" t="s">
        <v>105</v>
      </c>
      <c r="AJ598" s="72" t="s">
        <v>105</v>
      </c>
      <c r="AK598" s="72" t="s">
        <v>105</v>
      </c>
      <c r="AL598" s="15" t="s">
        <v>102</v>
      </c>
    </row>
    <row r="599" spans="34:38" x14ac:dyDescent="0.4">
      <c r="AH599" s="72" t="s">
        <v>98</v>
      </c>
      <c r="AI599" s="72" t="s">
        <v>105</v>
      </c>
      <c r="AJ599" s="72" t="s">
        <v>105</v>
      </c>
      <c r="AK599" s="72" t="s">
        <v>98</v>
      </c>
      <c r="AL599" s="15" t="s">
        <v>133</v>
      </c>
    </row>
    <row r="600" spans="34:38" x14ac:dyDescent="0.4">
      <c r="AH600" s="72" t="s">
        <v>98</v>
      </c>
      <c r="AI600" s="72" t="s">
        <v>105</v>
      </c>
      <c r="AJ600" s="72" t="s">
        <v>98</v>
      </c>
      <c r="AK600" s="72" t="s">
        <v>101</v>
      </c>
      <c r="AL600" s="15" t="s">
        <v>102</v>
      </c>
    </row>
    <row r="601" spans="34:38" x14ac:dyDescent="0.4">
      <c r="AH601" s="72" t="s">
        <v>98</v>
      </c>
      <c r="AI601" s="72" t="s">
        <v>105</v>
      </c>
      <c r="AJ601" s="72" t="s">
        <v>98</v>
      </c>
      <c r="AK601" s="72" t="s">
        <v>100</v>
      </c>
      <c r="AL601" s="15" t="s">
        <v>102</v>
      </c>
    </row>
    <row r="602" spans="34:38" x14ac:dyDescent="0.4">
      <c r="AH602" s="72" t="s">
        <v>98</v>
      </c>
      <c r="AI602" s="72" t="s">
        <v>105</v>
      </c>
      <c r="AJ602" s="72" t="s">
        <v>98</v>
      </c>
      <c r="AK602" s="72" t="s">
        <v>108</v>
      </c>
      <c r="AL602" s="15" t="s">
        <v>102</v>
      </c>
    </row>
    <row r="603" spans="34:38" x14ac:dyDescent="0.4">
      <c r="AH603" s="72" t="s">
        <v>98</v>
      </c>
      <c r="AI603" s="72" t="s">
        <v>105</v>
      </c>
      <c r="AJ603" s="72" t="s">
        <v>98</v>
      </c>
      <c r="AK603" s="72" t="s">
        <v>105</v>
      </c>
      <c r="AL603" s="15" t="s">
        <v>102</v>
      </c>
    </row>
    <row r="604" spans="34:38" x14ac:dyDescent="0.4">
      <c r="AH604" s="72" t="s">
        <v>98</v>
      </c>
      <c r="AI604" s="72" t="s">
        <v>105</v>
      </c>
      <c r="AJ604" s="72" t="s">
        <v>98</v>
      </c>
      <c r="AK604" s="72" t="s">
        <v>98</v>
      </c>
      <c r="AL604" s="15" t="s">
        <v>133</v>
      </c>
    </row>
    <row r="605" spans="34:38" x14ac:dyDescent="0.4">
      <c r="AH605" s="72" t="s">
        <v>98</v>
      </c>
      <c r="AI605" s="72" t="s">
        <v>98</v>
      </c>
      <c r="AJ605" s="72" t="s">
        <v>101</v>
      </c>
      <c r="AK605" s="72" t="s">
        <v>101</v>
      </c>
      <c r="AL605" s="15" t="s">
        <v>102</v>
      </c>
    </row>
    <row r="606" spans="34:38" x14ac:dyDescent="0.4">
      <c r="AH606" s="72" t="s">
        <v>98</v>
      </c>
      <c r="AI606" s="72" t="s">
        <v>98</v>
      </c>
      <c r="AJ606" s="72" t="s">
        <v>101</v>
      </c>
      <c r="AK606" s="72" t="s">
        <v>100</v>
      </c>
      <c r="AL606" s="15" t="s">
        <v>102</v>
      </c>
    </row>
    <row r="607" spans="34:38" x14ac:dyDescent="0.4">
      <c r="AH607" s="72" t="s">
        <v>98</v>
      </c>
      <c r="AI607" s="72" t="s">
        <v>98</v>
      </c>
      <c r="AJ607" s="72" t="s">
        <v>101</v>
      </c>
      <c r="AK607" s="72" t="s">
        <v>108</v>
      </c>
      <c r="AL607" s="15" t="s">
        <v>102</v>
      </c>
    </row>
    <row r="608" spans="34:38" x14ac:dyDescent="0.4">
      <c r="AH608" s="72" t="s">
        <v>98</v>
      </c>
      <c r="AI608" s="72" t="s">
        <v>98</v>
      </c>
      <c r="AJ608" s="72" t="s">
        <v>101</v>
      </c>
      <c r="AK608" s="72" t="s">
        <v>105</v>
      </c>
      <c r="AL608" s="15" t="s">
        <v>102</v>
      </c>
    </row>
    <row r="609" spans="34:38" x14ac:dyDescent="0.4">
      <c r="AH609" s="72" t="s">
        <v>98</v>
      </c>
      <c r="AI609" s="72" t="s">
        <v>98</v>
      </c>
      <c r="AJ609" s="72" t="s">
        <v>101</v>
      </c>
      <c r="AK609" s="72" t="s">
        <v>98</v>
      </c>
      <c r="AL609" s="15" t="s">
        <v>102</v>
      </c>
    </row>
    <row r="610" spans="34:38" x14ac:dyDescent="0.4">
      <c r="AH610" s="72" t="s">
        <v>98</v>
      </c>
      <c r="AI610" s="72" t="s">
        <v>98</v>
      </c>
      <c r="AJ610" s="72" t="s">
        <v>100</v>
      </c>
      <c r="AK610" s="72" t="s">
        <v>101</v>
      </c>
      <c r="AL610" s="15" t="s">
        <v>102</v>
      </c>
    </row>
    <row r="611" spans="34:38" x14ac:dyDescent="0.4">
      <c r="AH611" s="72" t="s">
        <v>98</v>
      </c>
      <c r="AI611" s="72" t="s">
        <v>98</v>
      </c>
      <c r="AJ611" s="72" t="s">
        <v>100</v>
      </c>
      <c r="AK611" s="72" t="s">
        <v>100</v>
      </c>
      <c r="AL611" s="15" t="s">
        <v>102</v>
      </c>
    </row>
    <row r="612" spans="34:38" x14ac:dyDescent="0.4">
      <c r="AH612" s="72" t="s">
        <v>98</v>
      </c>
      <c r="AI612" s="72" t="s">
        <v>98</v>
      </c>
      <c r="AJ612" s="72" t="s">
        <v>100</v>
      </c>
      <c r="AK612" s="72" t="s">
        <v>108</v>
      </c>
      <c r="AL612" s="15" t="s">
        <v>102</v>
      </c>
    </row>
    <row r="613" spans="34:38" x14ac:dyDescent="0.4">
      <c r="AH613" s="72" t="s">
        <v>98</v>
      </c>
      <c r="AI613" s="72" t="s">
        <v>98</v>
      </c>
      <c r="AJ613" s="72" t="s">
        <v>100</v>
      </c>
      <c r="AK613" s="72" t="s">
        <v>105</v>
      </c>
      <c r="AL613" s="15" t="s">
        <v>102</v>
      </c>
    </row>
    <row r="614" spans="34:38" x14ac:dyDescent="0.4">
      <c r="AH614" s="72" t="s">
        <v>98</v>
      </c>
      <c r="AI614" s="72" t="s">
        <v>98</v>
      </c>
      <c r="AJ614" s="72" t="s">
        <v>100</v>
      </c>
      <c r="AK614" s="72" t="s">
        <v>98</v>
      </c>
      <c r="AL614" s="15" t="s">
        <v>102</v>
      </c>
    </row>
    <row r="615" spans="34:38" x14ac:dyDescent="0.4">
      <c r="AH615" s="72" t="s">
        <v>98</v>
      </c>
      <c r="AI615" s="72" t="s">
        <v>98</v>
      </c>
      <c r="AJ615" s="72" t="s">
        <v>108</v>
      </c>
      <c r="AK615" s="72" t="s">
        <v>101</v>
      </c>
      <c r="AL615" s="15" t="s">
        <v>102</v>
      </c>
    </row>
    <row r="616" spans="34:38" x14ac:dyDescent="0.4">
      <c r="AH616" s="72" t="s">
        <v>98</v>
      </c>
      <c r="AI616" s="72" t="s">
        <v>98</v>
      </c>
      <c r="AJ616" s="72" t="s">
        <v>108</v>
      </c>
      <c r="AK616" s="72" t="s">
        <v>100</v>
      </c>
      <c r="AL616" s="15" t="s">
        <v>102</v>
      </c>
    </row>
    <row r="617" spans="34:38" x14ac:dyDescent="0.4">
      <c r="AH617" s="72" t="s">
        <v>98</v>
      </c>
      <c r="AI617" s="72" t="s">
        <v>98</v>
      </c>
      <c r="AJ617" s="72" t="s">
        <v>108</v>
      </c>
      <c r="AK617" s="72" t="s">
        <v>108</v>
      </c>
      <c r="AL617" s="15" t="s">
        <v>102</v>
      </c>
    </row>
    <row r="618" spans="34:38" x14ac:dyDescent="0.4">
      <c r="AH618" s="72" t="s">
        <v>98</v>
      </c>
      <c r="AI618" s="72" t="s">
        <v>98</v>
      </c>
      <c r="AJ618" s="72" t="s">
        <v>108</v>
      </c>
      <c r="AK618" s="72" t="s">
        <v>105</v>
      </c>
      <c r="AL618" s="15" t="s">
        <v>102</v>
      </c>
    </row>
    <row r="619" spans="34:38" x14ac:dyDescent="0.4">
      <c r="AH619" s="72" t="s">
        <v>98</v>
      </c>
      <c r="AI619" s="72" t="s">
        <v>98</v>
      </c>
      <c r="AJ619" s="72" t="s">
        <v>108</v>
      </c>
      <c r="AK619" s="72" t="s">
        <v>98</v>
      </c>
      <c r="AL619" s="15" t="s">
        <v>102</v>
      </c>
    </row>
    <row r="620" spans="34:38" x14ac:dyDescent="0.4">
      <c r="AH620" s="72" t="s">
        <v>98</v>
      </c>
      <c r="AI620" s="72" t="s">
        <v>98</v>
      </c>
      <c r="AJ620" s="72" t="s">
        <v>105</v>
      </c>
      <c r="AK620" s="72" t="s">
        <v>101</v>
      </c>
      <c r="AL620" s="15" t="s">
        <v>102</v>
      </c>
    </row>
    <row r="621" spans="34:38" x14ac:dyDescent="0.4">
      <c r="AH621" s="72" t="s">
        <v>98</v>
      </c>
      <c r="AI621" s="72" t="s">
        <v>98</v>
      </c>
      <c r="AJ621" s="72" t="s">
        <v>105</v>
      </c>
      <c r="AK621" s="72" t="s">
        <v>100</v>
      </c>
      <c r="AL621" s="15" t="s">
        <v>102</v>
      </c>
    </row>
    <row r="622" spans="34:38" x14ac:dyDescent="0.4">
      <c r="AH622" s="72" t="s">
        <v>98</v>
      </c>
      <c r="AI622" s="72" t="s">
        <v>98</v>
      </c>
      <c r="AJ622" s="72" t="s">
        <v>105</v>
      </c>
      <c r="AK622" s="72" t="s">
        <v>108</v>
      </c>
      <c r="AL622" s="15" t="s">
        <v>102</v>
      </c>
    </row>
    <row r="623" spans="34:38" x14ac:dyDescent="0.4">
      <c r="AH623" s="72" t="s">
        <v>98</v>
      </c>
      <c r="AI623" s="72" t="s">
        <v>98</v>
      </c>
      <c r="AJ623" s="72" t="s">
        <v>105</v>
      </c>
      <c r="AK623" s="72" t="s">
        <v>105</v>
      </c>
      <c r="AL623" s="15" t="s">
        <v>102</v>
      </c>
    </row>
    <row r="624" spans="34:38" x14ac:dyDescent="0.4">
      <c r="AH624" s="72" t="s">
        <v>98</v>
      </c>
      <c r="AI624" s="72" t="s">
        <v>98</v>
      </c>
      <c r="AJ624" s="72" t="s">
        <v>105</v>
      </c>
      <c r="AK624" s="72" t="s">
        <v>98</v>
      </c>
      <c r="AL624" s="15" t="s">
        <v>133</v>
      </c>
    </row>
    <row r="625" spans="34:38" x14ac:dyDescent="0.4">
      <c r="AH625" s="72" t="s">
        <v>98</v>
      </c>
      <c r="AI625" s="72" t="s">
        <v>98</v>
      </c>
      <c r="AJ625" s="72" t="s">
        <v>98</v>
      </c>
      <c r="AK625" s="72" t="s">
        <v>101</v>
      </c>
      <c r="AL625" s="15" t="s">
        <v>102</v>
      </c>
    </row>
    <row r="626" spans="34:38" x14ac:dyDescent="0.4">
      <c r="AH626" s="72" t="s">
        <v>98</v>
      </c>
      <c r="AI626" s="72" t="s">
        <v>98</v>
      </c>
      <c r="AJ626" s="72" t="s">
        <v>98</v>
      </c>
      <c r="AK626" s="72" t="s">
        <v>100</v>
      </c>
      <c r="AL626" s="15" t="s">
        <v>102</v>
      </c>
    </row>
    <row r="627" spans="34:38" x14ac:dyDescent="0.4">
      <c r="AH627" s="72" t="s">
        <v>98</v>
      </c>
      <c r="AI627" s="72" t="s">
        <v>98</v>
      </c>
      <c r="AJ627" s="72" t="s">
        <v>98</v>
      </c>
      <c r="AK627" s="72" t="s">
        <v>108</v>
      </c>
      <c r="AL627" s="15" t="s">
        <v>102</v>
      </c>
    </row>
    <row r="628" spans="34:38" x14ac:dyDescent="0.4">
      <c r="AH628" s="72" t="s">
        <v>98</v>
      </c>
      <c r="AI628" s="72" t="s">
        <v>98</v>
      </c>
      <c r="AJ628" s="72" t="s">
        <v>98</v>
      </c>
      <c r="AK628" s="72" t="s">
        <v>105</v>
      </c>
      <c r="AL628" s="15" t="s">
        <v>102</v>
      </c>
    </row>
    <row r="629" spans="34:38" x14ac:dyDescent="0.4">
      <c r="AH629" s="72" t="s">
        <v>98</v>
      </c>
      <c r="AI629" s="72" t="s">
        <v>98</v>
      </c>
      <c r="AJ629" s="72" t="s">
        <v>98</v>
      </c>
      <c r="AK629" s="72" t="s">
        <v>98</v>
      </c>
      <c r="AL629" s="15" t="s">
        <v>133</v>
      </c>
    </row>
  </sheetData>
  <sheetProtection algorithmName="SHA-512" hashValue="W9GVzykqJvHn6wI8TiQZZaW63RNTOm95TJHsjJ/K2a0zWmKT1OQj6A5fcqQ9UeLPCsFSI8026S0Uc9naKCZumQ==" saltValue="h/wc6+tfmX8a/1xVLj/ydg==" spinCount="100000" sheet="1" objects="1" scenarios="1"/>
  <phoneticPr fontId="6" type="noConversion"/>
  <dataValidations count="2">
    <dataValidation type="date" allowBlank="1" showInputMessage="1" showErrorMessage="1" sqref="D5:D52" xr:uid="{07E15354-1DFD-4646-805F-3C42F22412CD}">
      <formula1>43831</formula1>
      <formula2>73051</formula2>
    </dataValidation>
    <dataValidation type="decimal" allowBlank="1" showInputMessage="1" showErrorMessage="1" sqref="I5:J52" xr:uid="{959DAC7F-5D06-4051-8571-91292F2DDE05}">
      <formula1>-1000000</formula1>
      <formula2>1000000</formula2>
    </dataValidation>
  </dataValidations>
  <pageMargins left="0.7" right="0.7" top="0.75" bottom="0.75" header="0.3" footer="0.3"/>
  <pageSetup orientation="portrait" r:id="rId1"/>
  <ignoredErrors>
    <ignoredError sqref="E7" formula="1"/>
    <ignoredError sqref="H21:H52" unlockedFormula="1"/>
    <ignoredError sqref="F58:F69 D58:D69 D74:D77 E74:E77" calculatedColumn="1"/>
  </ignoredErrors>
  <drawing r:id="rId2"/>
  <tableParts count="7">
    <tablePart r:id="rId3"/>
    <tablePart r:id="rId4"/>
    <tablePart r:id="rId5"/>
    <tablePart r:id="rId6"/>
    <tablePart r:id="rId7"/>
    <tablePart r:id="rId8"/>
    <tablePart r:id="rId9"/>
  </tableParts>
  <extLst>
    <ext xmlns:x14="http://schemas.microsoft.com/office/spreadsheetml/2009/9/main" uri="{CCE6A557-97BC-4b89-ADB6-D9C93CAAB3DF}">
      <x14:dataValidations xmlns:xm="http://schemas.microsoft.com/office/excel/2006/main" count="1">
        <x14:dataValidation type="list" allowBlank="1" showInputMessage="1" showErrorMessage="1" xr:uid="{D126DB80-F379-4E34-8929-BA39C7ADBFA0}">
          <x14:formula1>
            <xm:f>'Dropdown tables - Production'!$Z$2:$Z$16</xm:f>
          </x14:formula1>
          <xm:sqref>E37 E5 E21</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2C7B4E-4F41-420E-967F-5282B8646583}">
  <sheetPr codeName="Sheet27">
    <tabColor theme="9" tint="0.59999389629810485"/>
  </sheetPr>
  <dimension ref="C2:AI72"/>
  <sheetViews>
    <sheetView zoomScale="80" zoomScaleNormal="80" workbookViewId="0"/>
  </sheetViews>
  <sheetFormatPr defaultColWidth="9" defaultRowHeight="16.8" x14ac:dyDescent="0.4"/>
  <cols>
    <col min="1" max="1" width="9" style="15"/>
    <col min="2" max="2" width="0" style="15" hidden="1" customWidth="1"/>
    <col min="3" max="3" width="14.21875" style="15" hidden="1" customWidth="1"/>
    <col min="4" max="4" width="20.44140625" style="15" customWidth="1"/>
    <col min="5" max="5" width="26.5546875" style="15" bestFit="1" customWidth="1"/>
    <col min="6" max="6" width="24.5546875" style="15" bestFit="1" customWidth="1"/>
    <col min="7" max="7" width="25.21875" style="15" customWidth="1"/>
    <col min="8" max="8" width="25.77734375" style="15" customWidth="1"/>
    <col min="9" max="9" width="13.21875" style="15" customWidth="1"/>
    <col min="10" max="10" width="13.77734375" style="15" customWidth="1"/>
    <col min="11" max="11" width="17.21875" style="15" customWidth="1"/>
    <col min="12" max="26" width="9" style="15" customWidth="1"/>
    <col min="27" max="27" width="35" style="15" hidden="1" customWidth="1"/>
    <col min="28" max="28" width="17.44140625" style="15" hidden="1" customWidth="1"/>
    <col min="29" max="29" width="27.77734375" style="15" hidden="1" customWidth="1"/>
    <col min="30" max="35" width="9" style="15" hidden="1" customWidth="1"/>
    <col min="36" max="37" width="0" style="15" hidden="1" customWidth="1"/>
    <col min="38" max="16384" width="9" style="15"/>
  </cols>
  <sheetData>
    <row r="2" spans="3:35" x14ac:dyDescent="0.4">
      <c r="D2" s="18" t="s">
        <v>1923</v>
      </c>
      <c r="AA2" s="18" t="s">
        <v>75</v>
      </c>
      <c r="AG2" s="18" t="s">
        <v>76</v>
      </c>
    </row>
    <row r="3" spans="3:35" ht="18" hidden="1" x14ac:dyDescent="0.4">
      <c r="C3" s="193">
        <v>6.1</v>
      </c>
      <c r="D3" s="193">
        <v>6.2</v>
      </c>
      <c r="E3" s="193">
        <v>6.3</v>
      </c>
      <c r="F3" s="193">
        <v>6.4</v>
      </c>
      <c r="G3" s="193">
        <v>6.5</v>
      </c>
      <c r="H3" s="193">
        <v>6.6</v>
      </c>
      <c r="I3" s="193">
        <v>6.7</v>
      </c>
      <c r="J3" s="193">
        <v>6.8</v>
      </c>
      <c r="K3" s="193">
        <v>6</v>
      </c>
      <c r="AH3" s="20"/>
    </row>
    <row r="4" spans="3:35" ht="38.25" customHeight="1" thickBot="1" x14ac:dyDescent="0.45">
      <c r="C4" s="59" t="s">
        <v>44</v>
      </c>
      <c r="D4" s="58" t="s">
        <v>77</v>
      </c>
      <c r="E4" s="96" t="s">
        <v>78</v>
      </c>
      <c r="F4" s="91" t="s">
        <v>79</v>
      </c>
      <c r="G4" s="108" t="s">
        <v>80</v>
      </c>
      <c r="H4" s="91" t="s">
        <v>159</v>
      </c>
      <c r="I4" s="91" t="s">
        <v>82</v>
      </c>
      <c r="J4" s="91" t="s">
        <v>83</v>
      </c>
      <c r="K4" s="60" t="s">
        <v>56</v>
      </c>
      <c r="L4" s="78"/>
      <c r="AA4" s="90" t="s">
        <v>84</v>
      </c>
      <c r="AB4" s="91" t="s">
        <v>85</v>
      </c>
      <c r="AC4" s="91" t="s">
        <v>86</v>
      </c>
      <c r="AD4" s="91" t="s">
        <v>87</v>
      </c>
      <c r="AE4" s="92" t="s">
        <v>56</v>
      </c>
      <c r="AF4" s="24"/>
      <c r="AG4" s="93" t="s">
        <v>160</v>
      </c>
      <c r="AH4" s="77" t="s">
        <v>161</v>
      </c>
      <c r="AI4" s="85" t="s">
        <v>92</v>
      </c>
    </row>
    <row r="5" spans="3:35" ht="17.399999999999999" thickTop="1" x14ac:dyDescent="0.4">
      <c r="C5" s="56" t="str">
        <f>IF('Site and production details'!C5= 0, "", 'Site and production details'!C5)</f>
        <v/>
      </c>
      <c r="D5" s="153"/>
      <c r="E5" s="163" t="s">
        <v>93</v>
      </c>
      <c r="F5" s="190" t="s">
        <v>94</v>
      </c>
      <c r="G5" s="126" t="s">
        <v>160</v>
      </c>
      <c r="H5" s="190" t="s">
        <v>162</v>
      </c>
      <c r="I5" s="190"/>
      <c r="J5" s="190"/>
      <c r="K5" s="172"/>
      <c r="AA5" s="15" t="s">
        <v>97</v>
      </c>
      <c r="AB5" s="74">
        <v>100</v>
      </c>
      <c r="AC5" s="74">
        <v>1000000</v>
      </c>
      <c r="AD5" s="74" t="s">
        <v>98</v>
      </c>
      <c r="AE5" s="15" t="s">
        <v>99</v>
      </c>
      <c r="AG5" s="95" t="s">
        <v>100</v>
      </c>
      <c r="AH5" s="69" t="s">
        <v>100</v>
      </c>
      <c r="AI5" s="86" t="s">
        <v>102</v>
      </c>
    </row>
    <row r="6" spans="3:35" x14ac:dyDescent="0.4">
      <c r="C6" s="56" t="str">
        <f>C5</f>
        <v/>
      </c>
      <c r="D6" s="153"/>
      <c r="E6" s="114" t="str">
        <f>IF(E5 = "Select", "", E5)</f>
        <v/>
      </c>
      <c r="F6" s="31" t="s">
        <v>94</v>
      </c>
      <c r="G6" s="124" t="s">
        <v>160</v>
      </c>
      <c r="H6" s="31" t="s">
        <v>163</v>
      </c>
      <c r="I6" s="31"/>
      <c r="J6" s="31"/>
      <c r="K6" s="173"/>
      <c r="AA6" s="15" t="s">
        <v>97</v>
      </c>
      <c r="AB6" s="15">
        <v>0</v>
      </c>
      <c r="AC6" s="15">
        <v>100</v>
      </c>
      <c r="AD6" s="15" t="s">
        <v>105</v>
      </c>
      <c r="AG6" s="97" t="s">
        <v>100</v>
      </c>
      <c r="AH6" s="57" t="s">
        <v>101</v>
      </c>
      <c r="AI6" s="87" t="s">
        <v>102</v>
      </c>
    </row>
    <row r="7" spans="3:35" x14ac:dyDescent="0.4">
      <c r="C7" s="56" t="str">
        <f t="shared" ref="C7:C14" si="0">C6</f>
        <v/>
      </c>
      <c r="D7" s="153"/>
      <c r="E7" s="114" t="str">
        <f>E6</f>
        <v/>
      </c>
      <c r="F7" s="31" t="s">
        <v>94</v>
      </c>
      <c r="G7" s="123" t="s">
        <v>164</v>
      </c>
      <c r="H7" s="31" t="s">
        <v>165</v>
      </c>
      <c r="I7" s="31"/>
      <c r="J7" s="31"/>
      <c r="K7" s="173"/>
      <c r="AA7" s="15" t="s">
        <v>97</v>
      </c>
      <c r="AB7" s="15">
        <v>-100</v>
      </c>
      <c r="AC7" s="15">
        <v>0</v>
      </c>
      <c r="AD7" s="15" t="s">
        <v>108</v>
      </c>
      <c r="AG7" s="95" t="s">
        <v>100</v>
      </c>
      <c r="AH7" s="69" t="s">
        <v>108</v>
      </c>
      <c r="AI7" s="86" t="s">
        <v>102</v>
      </c>
    </row>
    <row r="8" spans="3:35" x14ac:dyDescent="0.4">
      <c r="C8" s="56" t="str">
        <f t="shared" si="0"/>
        <v/>
      </c>
      <c r="D8" s="153"/>
      <c r="E8" s="114" t="str">
        <f t="shared" ref="E8:E9" si="1">E7</f>
        <v/>
      </c>
      <c r="F8" s="31" t="s">
        <v>94</v>
      </c>
      <c r="G8" s="124" t="s">
        <v>161</v>
      </c>
      <c r="H8" s="31" t="s">
        <v>166</v>
      </c>
      <c r="I8" s="31"/>
      <c r="J8" s="31"/>
      <c r="K8" s="173"/>
      <c r="AA8" s="15" t="s">
        <v>97</v>
      </c>
      <c r="AB8" s="15">
        <v>-150</v>
      </c>
      <c r="AC8" s="15">
        <v>-100</v>
      </c>
      <c r="AD8" s="15" t="s">
        <v>100</v>
      </c>
      <c r="AG8" s="97" t="s">
        <v>100</v>
      </c>
      <c r="AH8" s="57" t="s">
        <v>105</v>
      </c>
      <c r="AI8" s="87" t="s">
        <v>102</v>
      </c>
    </row>
    <row r="9" spans="3:35" x14ac:dyDescent="0.4">
      <c r="C9" s="56" t="str">
        <f t="shared" si="0"/>
        <v/>
      </c>
      <c r="D9" s="153"/>
      <c r="E9" s="114" t="str">
        <f t="shared" si="1"/>
        <v/>
      </c>
      <c r="F9" s="31" t="s">
        <v>94</v>
      </c>
      <c r="G9" s="199" t="s">
        <v>161</v>
      </c>
      <c r="H9" s="31" t="s">
        <v>167</v>
      </c>
      <c r="I9" s="31"/>
      <c r="J9" s="31"/>
      <c r="K9" s="173"/>
      <c r="AA9" s="15" t="s">
        <v>97</v>
      </c>
      <c r="AB9" s="15">
        <v>-10000000</v>
      </c>
      <c r="AC9" s="15">
        <v>-150</v>
      </c>
      <c r="AD9" s="15" t="s">
        <v>101</v>
      </c>
      <c r="AE9" s="15" t="s">
        <v>111</v>
      </c>
      <c r="AG9" s="95" t="s">
        <v>100</v>
      </c>
      <c r="AH9" s="69" t="s">
        <v>98</v>
      </c>
      <c r="AI9" s="86" t="s">
        <v>102</v>
      </c>
    </row>
    <row r="10" spans="3:35" x14ac:dyDescent="0.4">
      <c r="C10" s="56" t="str">
        <f t="shared" si="0"/>
        <v/>
      </c>
      <c r="D10" s="153"/>
      <c r="E10" s="113" t="s">
        <v>97</v>
      </c>
      <c r="F10" s="207" t="s">
        <v>94</v>
      </c>
      <c r="G10" s="202" t="s">
        <v>160</v>
      </c>
      <c r="H10" s="207" t="str">
        <f>H5</f>
        <v>20m inside boundary</v>
      </c>
      <c r="I10" s="207"/>
      <c r="J10" s="207"/>
      <c r="K10" s="172"/>
      <c r="AA10" s="15" t="s">
        <v>113</v>
      </c>
      <c r="AB10" s="21">
        <v>0</v>
      </c>
      <c r="AC10" s="21">
        <v>75.000010000000003</v>
      </c>
      <c r="AD10" s="15" t="s">
        <v>98</v>
      </c>
      <c r="AG10" s="97" t="s">
        <v>101</v>
      </c>
      <c r="AH10" s="57" t="s">
        <v>100</v>
      </c>
      <c r="AI10" s="87" t="s">
        <v>102</v>
      </c>
    </row>
    <row r="11" spans="3:35" x14ac:dyDescent="0.4">
      <c r="C11" s="56" t="str">
        <f t="shared" si="0"/>
        <v/>
      </c>
      <c r="D11" s="153"/>
      <c r="E11" s="114" t="s">
        <v>97</v>
      </c>
      <c r="F11" s="208" t="s">
        <v>94</v>
      </c>
      <c r="G11" s="201" t="s">
        <v>160</v>
      </c>
      <c r="H11" s="208" t="str">
        <f t="shared" ref="H11:H14" si="2">H6</f>
        <v>10m inside boundary</v>
      </c>
      <c r="I11" s="208"/>
      <c r="J11" s="208"/>
      <c r="K11" s="173"/>
      <c r="AA11" s="15" t="s">
        <v>113</v>
      </c>
      <c r="AB11" s="21">
        <v>75.000010000000003</v>
      </c>
      <c r="AC11" s="21">
        <v>250.00001</v>
      </c>
      <c r="AD11" s="15" t="s">
        <v>105</v>
      </c>
      <c r="AG11" s="95" t="s">
        <v>101</v>
      </c>
      <c r="AH11" s="69" t="s">
        <v>101</v>
      </c>
      <c r="AI11" s="86" t="s">
        <v>102</v>
      </c>
    </row>
    <row r="12" spans="3:35" x14ac:dyDescent="0.4">
      <c r="C12" s="56" t="str">
        <f t="shared" si="0"/>
        <v/>
      </c>
      <c r="D12" s="153"/>
      <c r="E12" s="114" t="s">
        <v>97</v>
      </c>
      <c r="F12" s="208" t="s">
        <v>94</v>
      </c>
      <c r="G12" s="200" t="s">
        <v>164</v>
      </c>
      <c r="H12" s="208" t="str">
        <f t="shared" si="2"/>
        <v>0m on boundary</v>
      </c>
      <c r="I12" s="208"/>
      <c r="J12" s="208"/>
      <c r="K12" s="173"/>
      <c r="AA12" s="15" t="s">
        <v>113</v>
      </c>
      <c r="AB12" s="21">
        <v>250.00001</v>
      </c>
      <c r="AC12" s="21">
        <v>500.00000999999997</v>
      </c>
      <c r="AD12" s="15" t="s">
        <v>108</v>
      </c>
      <c r="AG12" s="97" t="s">
        <v>101</v>
      </c>
      <c r="AH12" s="57" t="s">
        <v>108</v>
      </c>
      <c r="AI12" s="87" t="s">
        <v>102</v>
      </c>
    </row>
    <row r="13" spans="3:35" x14ac:dyDescent="0.4">
      <c r="C13" s="56" t="str">
        <f t="shared" si="0"/>
        <v/>
      </c>
      <c r="D13" s="153"/>
      <c r="E13" s="114" t="s">
        <v>97</v>
      </c>
      <c r="F13" s="208" t="s">
        <v>94</v>
      </c>
      <c r="G13" s="201" t="s">
        <v>161</v>
      </c>
      <c r="H13" s="208" t="str">
        <f t="shared" si="2"/>
        <v>10m outside boundary</v>
      </c>
      <c r="I13" s="208"/>
      <c r="J13" s="208"/>
      <c r="K13" s="173"/>
      <c r="AA13" s="15" t="s">
        <v>113</v>
      </c>
      <c r="AB13" s="21">
        <v>500.00000999999997</v>
      </c>
      <c r="AC13" s="21">
        <v>1100.00001</v>
      </c>
      <c r="AD13" s="15" t="s">
        <v>100</v>
      </c>
      <c r="AG13" s="95" t="s">
        <v>101</v>
      </c>
      <c r="AH13" s="69" t="s">
        <v>105</v>
      </c>
      <c r="AI13" s="86" t="s">
        <v>102</v>
      </c>
    </row>
    <row r="14" spans="3:35" x14ac:dyDescent="0.4">
      <c r="C14" s="56" t="str">
        <f t="shared" si="0"/>
        <v/>
      </c>
      <c r="D14" s="153"/>
      <c r="E14" s="115" t="s">
        <v>97</v>
      </c>
      <c r="F14" s="209" t="s">
        <v>94</v>
      </c>
      <c r="G14" s="203" t="s">
        <v>161</v>
      </c>
      <c r="H14" s="209" t="str">
        <f t="shared" si="2"/>
        <v>20m outside boundary</v>
      </c>
      <c r="I14" s="209"/>
      <c r="J14" s="209"/>
      <c r="K14" s="174"/>
      <c r="AA14" s="15" t="s">
        <v>113</v>
      </c>
      <c r="AB14" s="21">
        <v>1100.00001</v>
      </c>
      <c r="AC14" s="21">
        <v>1000000</v>
      </c>
      <c r="AD14" s="15" t="s">
        <v>101</v>
      </c>
      <c r="AE14" s="15" t="s">
        <v>99</v>
      </c>
      <c r="AG14" s="97" t="s">
        <v>101</v>
      </c>
      <c r="AH14" s="57" t="s">
        <v>98</v>
      </c>
      <c r="AI14" s="87" t="s">
        <v>102</v>
      </c>
    </row>
    <row r="15" spans="3:35" x14ac:dyDescent="0.4">
      <c r="AA15" s="15" t="s">
        <v>114</v>
      </c>
      <c r="AB15" s="21">
        <v>0</v>
      </c>
      <c r="AC15" s="105">
        <v>750.00000999999997</v>
      </c>
      <c r="AD15" s="74" t="s">
        <v>98</v>
      </c>
      <c r="AE15" s="15" t="s">
        <v>111</v>
      </c>
      <c r="AG15" s="95" t="s">
        <v>108</v>
      </c>
      <c r="AH15" s="69" t="s">
        <v>100</v>
      </c>
      <c r="AI15" s="86" t="s">
        <v>102</v>
      </c>
    </row>
    <row r="16" spans="3:35" x14ac:dyDescent="0.4">
      <c r="D16" s="18" t="s">
        <v>1924</v>
      </c>
      <c r="AA16" s="15" t="s">
        <v>114</v>
      </c>
      <c r="AB16" s="21">
        <v>750.00000999999997</v>
      </c>
      <c r="AC16" s="21">
        <v>1500.00001</v>
      </c>
      <c r="AD16" s="15" t="s">
        <v>105</v>
      </c>
      <c r="AG16" s="97" t="s">
        <v>108</v>
      </c>
      <c r="AH16" s="57" t="s">
        <v>101</v>
      </c>
      <c r="AI16" s="87" t="s">
        <v>102</v>
      </c>
    </row>
    <row r="17" spans="3:35" hidden="1" x14ac:dyDescent="0.4">
      <c r="C17" s="15">
        <v>6.11</v>
      </c>
      <c r="D17" s="15">
        <v>6.12</v>
      </c>
      <c r="E17" s="15">
        <v>6.13</v>
      </c>
      <c r="F17" s="15">
        <v>6.14</v>
      </c>
      <c r="G17" s="15">
        <v>6.15</v>
      </c>
      <c r="H17" s="15">
        <v>6.16</v>
      </c>
      <c r="I17" s="15">
        <v>6.17</v>
      </c>
      <c r="J17" s="15">
        <v>6.18</v>
      </c>
      <c r="K17" s="15">
        <v>6.19</v>
      </c>
      <c r="AA17" s="15" t="s">
        <v>114</v>
      </c>
      <c r="AB17" s="21">
        <v>1500.00001</v>
      </c>
      <c r="AC17" s="21">
        <v>3000.0000100000002</v>
      </c>
      <c r="AD17" s="15" t="s">
        <v>108</v>
      </c>
      <c r="AG17" s="95" t="s">
        <v>108</v>
      </c>
      <c r="AH17" s="69" t="s">
        <v>108</v>
      </c>
      <c r="AI17" s="86" t="s">
        <v>133</v>
      </c>
    </row>
    <row r="18" spans="3:35" ht="33.6" x14ac:dyDescent="0.4">
      <c r="C18" s="59" t="s">
        <v>44</v>
      </c>
      <c r="D18" s="58" t="s">
        <v>77</v>
      </c>
      <c r="E18" s="108" t="s">
        <v>115</v>
      </c>
      <c r="F18" s="99" t="s">
        <v>79</v>
      </c>
      <c r="G18" s="108" t="s">
        <v>80</v>
      </c>
      <c r="H18" s="99" t="s">
        <v>159</v>
      </c>
      <c r="I18" s="99" t="s">
        <v>82</v>
      </c>
      <c r="J18" s="99" t="s">
        <v>83</v>
      </c>
      <c r="K18" s="60" t="s">
        <v>56</v>
      </c>
      <c r="AA18" s="15" t="s">
        <v>114</v>
      </c>
      <c r="AB18" s="21">
        <v>3000.0000100000002</v>
      </c>
      <c r="AC18" s="21">
        <v>6000.0000099999997</v>
      </c>
      <c r="AD18" s="15" t="s">
        <v>100</v>
      </c>
      <c r="AG18" s="97" t="s">
        <v>108</v>
      </c>
      <c r="AH18" s="57" t="s">
        <v>105</v>
      </c>
      <c r="AI18" s="87" t="s">
        <v>133</v>
      </c>
    </row>
    <row r="19" spans="3:35" x14ac:dyDescent="0.4">
      <c r="C19" s="56" t="str">
        <f>C5</f>
        <v/>
      </c>
      <c r="D19" s="153"/>
      <c r="E19" s="113" t="str">
        <f>IF(E5 = "Select", "", E5)</f>
        <v/>
      </c>
      <c r="F19" s="190" t="s">
        <v>116</v>
      </c>
      <c r="G19" s="126" t="s">
        <v>160</v>
      </c>
      <c r="H19" s="190" t="s">
        <v>162</v>
      </c>
      <c r="I19" s="190"/>
      <c r="J19" s="190"/>
      <c r="K19" s="172"/>
      <c r="AA19" s="15" t="s">
        <v>114</v>
      </c>
      <c r="AB19" s="21">
        <v>6000.0000099999997</v>
      </c>
      <c r="AC19" s="21">
        <v>1000000</v>
      </c>
      <c r="AD19" s="15" t="s">
        <v>101</v>
      </c>
      <c r="AE19" s="15" t="s">
        <v>99</v>
      </c>
      <c r="AG19" s="95" t="s">
        <v>108</v>
      </c>
      <c r="AH19" s="69" t="s">
        <v>98</v>
      </c>
      <c r="AI19" s="86" t="s">
        <v>133</v>
      </c>
    </row>
    <row r="20" spans="3:35" x14ac:dyDescent="0.4">
      <c r="C20" s="56" t="str">
        <f>C19</f>
        <v/>
      </c>
      <c r="D20" s="153"/>
      <c r="E20" s="114" t="str">
        <f>E19</f>
        <v/>
      </c>
      <c r="F20" s="31" t="s">
        <v>116</v>
      </c>
      <c r="G20" s="124" t="s">
        <v>160</v>
      </c>
      <c r="H20" s="31" t="s">
        <v>163</v>
      </c>
      <c r="I20" s="31"/>
      <c r="J20" s="31"/>
      <c r="K20" s="173"/>
      <c r="AG20" s="97" t="s">
        <v>105</v>
      </c>
      <c r="AH20" s="57" t="s">
        <v>100</v>
      </c>
      <c r="AI20" s="87" t="s">
        <v>102</v>
      </c>
    </row>
    <row r="21" spans="3:35" x14ac:dyDescent="0.4">
      <c r="C21" s="56" t="str">
        <f t="shared" ref="C21:C48" si="3">C20</f>
        <v/>
      </c>
      <c r="D21" s="153"/>
      <c r="E21" s="114" t="str">
        <f t="shared" ref="E21:E33" si="4">E20</f>
        <v/>
      </c>
      <c r="F21" s="31" t="s">
        <v>116</v>
      </c>
      <c r="G21" s="123" t="s">
        <v>164</v>
      </c>
      <c r="H21" s="31" t="s">
        <v>165</v>
      </c>
      <c r="I21" s="31"/>
      <c r="J21" s="31"/>
      <c r="K21" s="173"/>
      <c r="AA21" s="18" t="s">
        <v>118</v>
      </c>
      <c r="AG21" s="95" t="s">
        <v>105</v>
      </c>
      <c r="AH21" s="69" t="s">
        <v>101</v>
      </c>
      <c r="AI21" s="86" t="s">
        <v>102</v>
      </c>
    </row>
    <row r="22" spans="3:35" x14ac:dyDescent="0.4">
      <c r="C22" s="56" t="str">
        <f t="shared" si="3"/>
        <v/>
      </c>
      <c r="D22" s="153"/>
      <c r="E22" s="114" t="str">
        <f t="shared" si="4"/>
        <v/>
      </c>
      <c r="F22" s="31" t="s">
        <v>116</v>
      </c>
      <c r="G22" s="124" t="s">
        <v>161</v>
      </c>
      <c r="H22" s="31" t="s">
        <v>166</v>
      </c>
      <c r="I22" s="31"/>
      <c r="J22" s="31"/>
      <c r="K22" s="173"/>
      <c r="AG22" s="97" t="s">
        <v>105</v>
      </c>
      <c r="AH22" s="57" t="s">
        <v>108</v>
      </c>
      <c r="AI22" s="87" t="s">
        <v>133</v>
      </c>
    </row>
    <row r="23" spans="3:35" x14ac:dyDescent="0.4">
      <c r="C23" s="56" t="str">
        <f t="shared" si="3"/>
        <v/>
      </c>
      <c r="D23" s="153"/>
      <c r="E23" s="114" t="str">
        <f t="shared" si="4"/>
        <v/>
      </c>
      <c r="F23" s="191" t="s">
        <v>116</v>
      </c>
      <c r="G23" s="127" t="s">
        <v>161</v>
      </c>
      <c r="H23" s="191" t="s">
        <v>167</v>
      </c>
      <c r="I23" s="191"/>
      <c r="J23" s="191"/>
      <c r="K23" s="174"/>
      <c r="AA23" s="15" t="s">
        <v>87</v>
      </c>
      <c r="AB23" s="82" t="s">
        <v>119</v>
      </c>
      <c r="AC23" s="15" t="s">
        <v>120</v>
      </c>
      <c r="AD23" s="15" t="s">
        <v>121</v>
      </c>
      <c r="AE23" s="15" t="s">
        <v>56</v>
      </c>
      <c r="AG23" s="95" t="s">
        <v>105</v>
      </c>
      <c r="AH23" s="69" t="s">
        <v>105</v>
      </c>
      <c r="AI23" s="86" t="s">
        <v>133</v>
      </c>
    </row>
    <row r="24" spans="3:35" x14ac:dyDescent="0.4">
      <c r="C24" s="56" t="str">
        <f t="shared" si="3"/>
        <v/>
      </c>
      <c r="D24" s="153"/>
      <c r="E24" s="114" t="str">
        <f t="shared" si="4"/>
        <v/>
      </c>
      <c r="F24" s="190" t="s">
        <v>117</v>
      </c>
      <c r="G24" s="122" t="s">
        <v>160</v>
      </c>
      <c r="H24" s="190" t="s">
        <v>162</v>
      </c>
      <c r="I24" s="190"/>
      <c r="J24" s="190"/>
      <c r="K24" s="172"/>
      <c r="AA24" s="15" t="s">
        <v>101</v>
      </c>
      <c r="AB24" s="15">
        <v>4.0000099999999996</v>
      </c>
      <c r="AC24" s="15">
        <v>6</v>
      </c>
      <c r="AD24" s="42">
        <v>5</v>
      </c>
      <c r="AE24" s="15" t="s">
        <v>99</v>
      </c>
      <c r="AG24" s="97" t="s">
        <v>105</v>
      </c>
      <c r="AH24" s="57" t="s">
        <v>98</v>
      </c>
      <c r="AI24" s="87" t="s">
        <v>133</v>
      </c>
    </row>
    <row r="25" spans="3:35" x14ac:dyDescent="0.4">
      <c r="C25" s="56" t="str">
        <f t="shared" si="3"/>
        <v/>
      </c>
      <c r="D25" s="153"/>
      <c r="E25" s="114" t="str">
        <f t="shared" si="4"/>
        <v/>
      </c>
      <c r="F25" s="31" t="s">
        <v>117</v>
      </c>
      <c r="G25" s="123" t="s">
        <v>160</v>
      </c>
      <c r="H25" s="31" t="s">
        <v>163</v>
      </c>
      <c r="I25" s="31"/>
      <c r="J25" s="31"/>
      <c r="K25" s="173"/>
      <c r="AA25" s="15" t="s">
        <v>100</v>
      </c>
      <c r="AB25" s="15">
        <v>3.1</v>
      </c>
      <c r="AC25" s="15">
        <v>4.0000099999999996</v>
      </c>
      <c r="AD25" s="42">
        <v>4</v>
      </c>
      <c r="AG25" s="95" t="s">
        <v>98</v>
      </c>
      <c r="AH25" s="69" t="s">
        <v>100</v>
      </c>
      <c r="AI25" s="86" t="s">
        <v>102</v>
      </c>
    </row>
    <row r="26" spans="3:35" x14ac:dyDescent="0.4">
      <c r="C26" s="56" t="str">
        <f t="shared" si="3"/>
        <v/>
      </c>
      <c r="D26" s="153"/>
      <c r="E26" s="114" t="str">
        <f t="shared" si="4"/>
        <v/>
      </c>
      <c r="F26" s="31" t="s">
        <v>117</v>
      </c>
      <c r="G26" s="124" t="s">
        <v>164</v>
      </c>
      <c r="H26" s="31" t="s">
        <v>165</v>
      </c>
      <c r="I26" s="31"/>
      <c r="J26" s="31"/>
      <c r="K26" s="173"/>
      <c r="AA26" s="15" t="s">
        <v>108</v>
      </c>
      <c r="AB26" s="15">
        <v>2.1</v>
      </c>
      <c r="AC26" s="15">
        <v>3.09999</v>
      </c>
      <c r="AD26" s="42">
        <v>3</v>
      </c>
      <c r="AG26" s="97" t="s">
        <v>98</v>
      </c>
      <c r="AH26" s="57" t="s">
        <v>101</v>
      </c>
      <c r="AI26" s="87" t="s">
        <v>102</v>
      </c>
    </row>
    <row r="27" spans="3:35" x14ac:dyDescent="0.4">
      <c r="C27" s="56" t="str">
        <f t="shared" si="3"/>
        <v/>
      </c>
      <c r="D27" s="153"/>
      <c r="E27" s="114" t="str">
        <f t="shared" si="4"/>
        <v/>
      </c>
      <c r="F27" s="31" t="s">
        <v>117</v>
      </c>
      <c r="G27" s="123" t="s">
        <v>161</v>
      </c>
      <c r="H27" s="31" t="s">
        <v>166</v>
      </c>
      <c r="I27" s="31"/>
      <c r="J27" s="31"/>
      <c r="K27" s="173"/>
      <c r="AA27" s="15" t="s">
        <v>105</v>
      </c>
      <c r="AB27" s="15">
        <v>1.1000000000000001</v>
      </c>
      <c r="AC27" s="15">
        <v>2.09999</v>
      </c>
      <c r="AD27" s="42">
        <v>2</v>
      </c>
      <c r="AG27" s="95" t="s">
        <v>98</v>
      </c>
      <c r="AH27" s="69" t="s">
        <v>108</v>
      </c>
      <c r="AI27" s="86" t="s">
        <v>133</v>
      </c>
    </row>
    <row r="28" spans="3:35" x14ac:dyDescent="0.4">
      <c r="C28" s="56" t="str">
        <f t="shared" si="3"/>
        <v/>
      </c>
      <c r="D28" s="153"/>
      <c r="E28" s="114" t="str">
        <f t="shared" si="4"/>
        <v/>
      </c>
      <c r="F28" s="191" t="s">
        <v>117</v>
      </c>
      <c r="G28" s="125" t="s">
        <v>161</v>
      </c>
      <c r="H28" s="191" t="s">
        <v>167</v>
      </c>
      <c r="I28" s="191"/>
      <c r="J28" s="191"/>
      <c r="K28" s="174"/>
      <c r="AA28" s="15" t="s">
        <v>98</v>
      </c>
      <c r="AB28" s="15">
        <v>0</v>
      </c>
      <c r="AC28" s="15">
        <v>1.09999</v>
      </c>
      <c r="AD28" s="42">
        <v>1</v>
      </c>
      <c r="AE28" s="15" t="s">
        <v>123</v>
      </c>
      <c r="AG28" s="97" t="s">
        <v>98</v>
      </c>
      <c r="AH28" s="57" t="s">
        <v>105</v>
      </c>
      <c r="AI28" s="87" t="s">
        <v>133</v>
      </c>
    </row>
    <row r="29" spans="3:35" x14ac:dyDescent="0.4">
      <c r="C29" s="56" t="str">
        <f t="shared" si="3"/>
        <v/>
      </c>
      <c r="D29" s="153"/>
      <c r="E29" s="114" t="str">
        <f t="shared" si="4"/>
        <v/>
      </c>
      <c r="F29" s="190" t="s">
        <v>122</v>
      </c>
      <c r="G29" s="126" t="s">
        <v>160</v>
      </c>
      <c r="H29" s="190" t="s">
        <v>162</v>
      </c>
      <c r="I29" s="190"/>
      <c r="J29" s="190"/>
      <c r="K29" s="172"/>
      <c r="AG29" s="98" t="s">
        <v>98</v>
      </c>
      <c r="AH29" s="88" t="s">
        <v>98</v>
      </c>
      <c r="AI29" s="89" t="s">
        <v>133</v>
      </c>
    </row>
    <row r="30" spans="3:35" x14ac:dyDescent="0.4">
      <c r="C30" s="56" t="str">
        <f t="shared" si="3"/>
        <v/>
      </c>
      <c r="D30" s="153"/>
      <c r="E30" s="114" t="str">
        <f t="shared" si="4"/>
        <v/>
      </c>
      <c r="F30" s="31" t="s">
        <v>122</v>
      </c>
      <c r="G30" s="124" t="s">
        <v>160</v>
      </c>
      <c r="H30" s="31" t="s">
        <v>163</v>
      </c>
      <c r="I30" s="31"/>
      <c r="J30" s="31"/>
      <c r="K30" s="173"/>
    </row>
    <row r="31" spans="3:35" x14ac:dyDescent="0.4">
      <c r="C31" s="56" t="str">
        <f t="shared" si="3"/>
        <v/>
      </c>
      <c r="D31" s="153"/>
      <c r="E31" s="114" t="str">
        <f t="shared" si="4"/>
        <v/>
      </c>
      <c r="F31" s="31" t="s">
        <v>122</v>
      </c>
      <c r="G31" s="123" t="s">
        <v>164</v>
      </c>
      <c r="H31" s="31" t="s">
        <v>165</v>
      </c>
      <c r="I31" s="31"/>
      <c r="J31" s="31"/>
      <c r="K31" s="173"/>
    </row>
    <row r="32" spans="3:35" x14ac:dyDescent="0.4">
      <c r="C32" s="56" t="str">
        <f t="shared" si="3"/>
        <v/>
      </c>
      <c r="D32" s="153"/>
      <c r="E32" s="114" t="str">
        <f t="shared" si="4"/>
        <v/>
      </c>
      <c r="F32" s="31" t="s">
        <v>122</v>
      </c>
      <c r="G32" s="124" t="s">
        <v>161</v>
      </c>
      <c r="H32" s="31" t="s">
        <v>166</v>
      </c>
      <c r="I32" s="31"/>
      <c r="J32" s="31"/>
      <c r="K32" s="173"/>
    </row>
    <row r="33" spans="3:11" x14ac:dyDescent="0.4">
      <c r="C33" s="56" t="str">
        <f t="shared" si="3"/>
        <v/>
      </c>
      <c r="D33" s="153"/>
      <c r="E33" s="115" t="str">
        <f t="shared" si="4"/>
        <v/>
      </c>
      <c r="F33" s="31" t="s">
        <v>122</v>
      </c>
      <c r="G33" s="199" t="s">
        <v>161</v>
      </c>
      <c r="H33" s="31" t="s">
        <v>167</v>
      </c>
      <c r="I33" s="31"/>
      <c r="J33" s="31"/>
      <c r="K33" s="173"/>
    </row>
    <row r="34" spans="3:11" x14ac:dyDescent="0.4">
      <c r="C34" s="56" t="str">
        <f t="shared" si="3"/>
        <v/>
      </c>
      <c r="D34" s="153"/>
      <c r="E34" s="113" t="s">
        <v>97</v>
      </c>
      <c r="F34" s="207" t="s">
        <v>116</v>
      </c>
      <c r="G34" s="194" t="s">
        <v>160</v>
      </c>
      <c r="H34" s="207" t="str">
        <f>H19</f>
        <v>20m inside boundary</v>
      </c>
      <c r="I34" s="207"/>
      <c r="J34" s="207"/>
      <c r="K34" s="172"/>
    </row>
    <row r="35" spans="3:11" x14ac:dyDescent="0.4">
      <c r="C35" s="56" t="str">
        <f t="shared" si="3"/>
        <v/>
      </c>
      <c r="D35" s="153"/>
      <c r="E35" s="114" t="s">
        <v>97</v>
      </c>
      <c r="F35" s="208" t="s">
        <v>116</v>
      </c>
      <c r="G35" s="195" t="s">
        <v>160</v>
      </c>
      <c r="H35" s="208" t="str">
        <f t="shared" ref="H35:H48" si="5">H20</f>
        <v>10m inside boundary</v>
      </c>
      <c r="I35" s="208"/>
      <c r="J35" s="208"/>
      <c r="K35" s="173"/>
    </row>
    <row r="36" spans="3:11" x14ac:dyDescent="0.4">
      <c r="C36" s="56" t="str">
        <f t="shared" si="3"/>
        <v/>
      </c>
      <c r="D36" s="153"/>
      <c r="E36" s="114" t="s">
        <v>97</v>
      </c>
      <c r="F36" s="208" t="s">
        <v>116</v>
      </c>
      <c r="G36" s="196" t="s">
        <v>164</v>
      </c>
      <c r="H36" s="208" t="str">
        <f t="shared" si="5"/>
        <v>0m on boundary</v>
      </c>
      <c r="I36" s="208"/>
      <c r="J36" s="208"/>
      <c r="K36" s="173"/>
    </row>
    <row r="37" spans="3:11" x14ac:dyDescent="0.4">
      <c r="C37" s="56" t="str">
        <f t="shared" si="3"/>
        <v/>
      </c>
      <c r="D37" s="153"/>
      <c r="E37" s="114" t="s">
        <v>97</v>
      </c>
      <c r="F37" s="208" t="s">
        <v>116</v>
      </c>
      <c r="G37" s="195" t="s">
        <v>161</v>
      </c>
      <c r="H37" s="208" t="str">
        <f t="shared" si="5"/>
        <v>10m outside boundary</v>
      </c>
      <c r="I37" s="208"/>
      <c r="J37" s="208"/>
      <c r="K37" s="173"/>
    </row>
    <row r="38" spans="3:11" x14ac:dyDescent="0.4">
      <c r="C38" s="56" t="str">
        <f t="shared" si="3"/>
        <v/>
      </c>
      <c r="D38" s="153"/>
      <c r="E38" s="114" t="s">
        <v>97</v>
      </c>
      <c r="F38" s="209" t="s">
        <v>116</v>
      </c>
      <c r="G38" s="143" t="s">
        <v>161</v>
      </c>
      <c r="H38" s="209" t="str">
        <f t="shared" si="5"/>
        <v>20m outside boundary</v>
      </c>
      <c r="I38" s="209"/>
      <c r="J38" s="209"/>
      <c r="K38" s="174"/>
    </row>
    <row r="39" spans="3:11" x14ac:dyDescent="0.4">
      <c r="C39" s="56" t="str">
        <f t="shared" si="3"/>
        <v/>
      </c>
      <c r="D39" s="153"/>
      <c r="E39" s="114" t="s">
        <v>97</v>
      </c>
      <c r="F39" s="207" t="s">
        <v>117</v>
      </c>
      <c r="G39" s="197" t="s">
        <v>160</v>
      </c>
      <c r="H39" s="207" t="str">
        <f t="shared" si="5"/>
        <v>20m inside boundary</v>
      </c>
      <c r="I39" s="207"/>
      <c r="J39" s="207"/>
      <c r="K39" s="172"/>
    </row>
    <row r="40" spans="3:11" x14ac:dyDescent="0.4">
      <c r="C40" s="56" t="str">
        <f t="shared" si="3"/>
        <v/>
      </c>
      <c r="D40" s="153"/>
      <c r="E40" s="114" t="s">
        <v>97</v>
      </c>
      <c r="F40" s="208" t="s">
        <v>117</v>
      </c>
      <c r="G40" s="196" t="s">
        <v>160</v>
      </c>
      <c r="H40" s="208" t="str">
        <f t="shared" si="5"/>
        <v>10m inside boundary</v>
      </c>
      <c r="I40" s="208"/>
      <c r="J40" s="208"/>
      <c r="K40" s="173"/>
    </row>
    <row r="41" spans="3:11" x14ac:dyDescent="0.4">
      <c r="C41" s="56" t="str">
        <f t="shared" si="3"/>
        <v/>
      </c>
      <c r="D41" s="153"/>
      <c r="E41" s="114" t="s">
        <v>97</v>
      </c>
      <c r="F41" s="208" t="s">
        <v>117</v>
      </c>
      <c r="G41" s="195" t="s">
        <v>164</v>
      </c>
      <c r="H41" s="208" t="str">
        <f t="shared" si="5"/>
        <v>0m on boundary</v>
      </c>
      <c r="I41" s="208"/>
      <c r="J41" s="208"/>
      <c r="K41" s="173"/>
    </row>
    <row r="42" spans="3:11" x14ac:dyDescent="0.4">
      <c r="C42" s="56" t="str">
        <f t="shared" si="3"/>
        <v/>
      </c>
      <c r="D42" s="153"/>
      <c r="E42" s="114" t="s">
        <v>97</v>
      </c>
      <c r="F42" s="208" t="s">
        <v>117</v>
      </c>
      <c r="G42" s="196" t="s">
        <v>161</v>
      </c>
      <c r="H42" s="208" t="str">
        <f t="shared" si="5"/>
        <v>10m outside boundary</v>
      </c>
      <c r="I42" s="208"/>
      <c r="J42" s="208"/>
      <c r="K42" s="173"/>
    </row>
    <row r="43" spans="3:11" x14ac:dyDescent="0.4">
      <c r="C43" s="56" t="str">
        <f t="shared" si="3"/>
        <v/>
      </c>
      <c r="D43" s="153"/>
      <c r="E43" s="114" t="s">
        <v>97</v>
      </c>
      <c r="F43" s="209" t="s">
        <v>117</v>
      </c>
      <c r="G43" s="198" t="s">
        <v>161</v>
      </c>
      <c r="H43" s="209" t="str">
        <f t="shared" si="5"/>
        <v>20m outside boundary</v>
      </c>
      <c r="I43" s="209"/>
      <c r="J43" s="209"/>
      <c r="K43" s="174"/>
    </row>
    <row r="44" spans="3:11" x14ac:dyDescent="0.4">
      <c r="C44" s="56" t="str">
        <f t="shared" si="3"/>
        <v/>
      </c>
      <c r="D44" s="153"/>
      <c r="E44" s="114" t="s">
        <v>97</v>
      </c>
      <c r="F44" s="207" t="s">
        <v>122</v>
      </c>
      <c r="G44" s="194" t="s">
        <v>160</v>
      </c>
      <c r="H44" s="207" t="str">
        <f t="shared" si="5"/>
        <v>20m inside boundary</v>
      </c>
      <c r="I44" s="207"/>
      <c r="J44" s="207"/>
      <c r="K44" s="172"/>
    </row>
    <row r="45" spans="3:11" x14ac:dyDescent="0.4">
      <c r="C45" s="56" t="str">
        <f t="shared" si="3"/>
        <v/>
      </c>
      <c r="D45" s="153"/>
      <c r="E45" s="114" t="s">
        <v>97</v>
      </c>
      <c r="F45" s="208" t="s">
        <v>122</v>
      </c>
      <c r="G45" s="195" t="s">
        <v>160</v>
      </c>
      <c r="H45" s="208" t="str">
        <f t="shared" si="5"/>
        <v>10m inside boundary</v>
      </c>
      <c r="I45" s="208"/>
      <c r="J45" s="208"/>
      <c r="K45" s="173"/>
    </row>
    <row r="46" spans="3:11" x14ac:dyDescent="0.4">
      <c r="C46" s="56" t="str">
        <f t="shared" si="3"/>
        <v/>
      </c>
      <c r="D46" s="153"/>
      <c r="E46" s="114" t="s">
        <v>97</v>
      </c>
      <c r="F46" s="208" t="s">
        <v>122</v>
      </c>
      <c r="G46" s="196" t="s">
        <v>164</v>
      </c>
      <c r="H46" s="208" t="str">
        <f t="shared" si="5"/>
        <v>0m on boundary</v>
      </c>
      <c r="I46" s="208"/>
      <c r="J46" s="208"/>
      <c r="K46" s="173"/>
    </row>
    <row r="47" spans="3:11" x14ac:dyDescent="0.4">
      <c r="C47" s="56" t="str">
        <f t="shared" si="3"/>
        <v/>
      </c>
      <c r="D47" s="153"/>
      <c r="E47" s="114" t="s">
        <v>97</v>
      </c>
      <c r="F47" s="208" t="s">
        <v>122</v>
      </c>
      <c r="G47" s="195" t="s">
        <v>161</v>
      </c>
      <c r="H47" s="208" t="str">
        <f t="shared" si="5"/>
        <v>10m outside boundary</v>
      </c>
      <c r="I47" s="208"/>
      <c r="J47" s="208"/>
      <c r="K47" s="173"/>
    </row>
    <row r="48" spans="3:11" x14ac:dyDescent="0.4">
      <c r="C48" s="56" t="str">
        <f t="shared" si="3"/>
        <v/>
      </c>
      <c r="D48" s="153"/>
      <c r="E48" s="115" t="s">
        <v>97</v>
      </c>
      <c r="F48" s="209" t="s">
        <v>122</v>
      </c>
      <c r="G48" s="143" t="s">
        <v>161</v>
      </c>
      <c r="H48" s="209" t="str">
        <f t="shared" si="5"/>
        <v>20m outside boundary</v>
      </c>
      <c r="I48" s="209"/>
      <c r="J48" s="209"/>
      <c r="K48" s="174"/>
    </row>
    <row r="50" spans="3:8" x14ac:dyDescent="0.4">
      <c r="D50" s="18" t="s">
        <v>1925</v>
      </c>
      <c r="G50" s="40"/>
      <c r="H50" s="40"/>
    </row>
    <row r="51" spans="3:8" hidden="1" x14ac:dyDescent="0.4">
      <c r="C51" s="15">
        <v>6.21</v>
      </c>
      <c r="D51" s="15">
        <v>6.22</v>
      </c>
      <c r="E51" s="15">
        <v>6.23</v>
      </c>
      <c r="F51" s="15">
        <v>6.24</v>
      </c>
      <c r="G51" s="15">
        <v>6.25</v>
      </c>
      <c r="H51" s="15">
        <v>6.26</v>
      </c>
    </row>
    <row r="52" spans="3:8" x14ac:dyDescent="0.4">
      <c r="C52" s="59" t="s">
        <v>44</v>
      </c>
      <c r="D52" s="59" t="s">
        <v>115</v>
      </c>
      <c r="E52" s="59" t="s">
        <v>80</v>
      </c>
      <c r="F52" s="59" t="s">
        <v>124</v>
      </c>
      <c r="G52" s="59" t="s">
        <v>125</v>
      </c>
      <c r="H52" s="59" t="s">
        <v>126</v>
      </c>
    </row>
    <row r="53" spans="3:8" x14ac:dyDescent="0.4">
      <c r="C53" s="75" t="str">
        <f>C5</f>
        <v/>
      </c>
      <c r="D53" s="75" t="str">
        <f>E6</f>
        <v/>
      </c>
      <c r="E53" s="75" t="str">
        <f>G5</f>
        <v>Inside site boundary</v>
      </c>
      <c r="F53" s="76" t="str">
        <f>IFERROR(AVERAGE(I5:J6,I19:J20,I24:J25,I29:J30),"")</f>
        <v/>
      </c>
      <c r="G53" s="56" t="str" cm="1">
        <f t="array" ref="G53">IFERROR(INDEX(Table517276[EQS category ref], MATCH(1, (Table4771[[#This Row],[Abiotic indicator]]=Table517276[Abiotic index ref])*(Table4771[[#This Row],[Avg. indicator value]]&gt;=Table517276[Equal or larger than])*(Table4771[[#This Row],[Avg. indicator value]]&lt;Table517276[smaller than]),0)),"")</f>
        <v/>
      </c>
      <c r="H53" s="75" t="str" cm="1">
        <f t="array" ref="H53">IFERROR(_xlfn.IFS(Table4771[[#This Row],[EQS category]]="Bad",5, Table4771[[#This Row],[EQS category]]="Poor",4, Table4771[[#This Row],[EQS category]]="Moderate",3, Table4771[[#This Row],[EQS category]]="Good",2, Table4771[[#This Row],[EQS category]]="High",1),"")</f>
        <v/>
      </c>
    </row>
    <row r="54" spans="3:8" x14ac:dyDescent="0.4">
      <c r="C54" s="75" t="str">
        <f>C10</f>
        <v/>
      </c>
      <c r="D54" s="75" t="str">
        <f>E10</f>
        <v>Redox potential (EhNHE)</v>
      </c>
      <c r="E54" s="75" t="str">
        <f>G10</f>
        <v>Inside site boundary</v>
      </c>
      <c r="F54" s="76" t="str">
        <f>IFERROR(AVERAGE(I10:J11, I34:J35,I39:J40,I44:J45),"")</f>
        <v/>
      </c>
      <c r="G54" s="56" t="str" cm="1">
        <f t="array" ref="G54">IFERROR(INDEX(Table517276[EQS category ref], MATCH(1, (Table4771[[#This Row],[Abiotic indicator]]=Table517276[Abiotic index ref])*(Table4771[[#This Row],[Avg. indicator value]]&gt;=Table517276[Equal or larger than])*(Table4771[[#This Row],[Avg. indicator value]]&lt;Table517276[smaller than]),0)),"")</f>
        <v/>
      </c>
      <c r="H54" s="75" t="str" cm="1">
        <f t="array" ref="H54">IFERROR(_xlfn.IFS(Table4771[[#This Row],[EQS category]]="Bad",5, Table4771[[#This Row],[EQS category]]="Poor",4, Table4771[[#This Row],[EQS category]]="Moderate",3, Table4771[[#This Row],[EQS category]]="Good",2, Table4771[[#This Row],[EQS category]]="High",1),"")</f>
        <v/>
      </c>
    </row>
    <row r="55" spans="3:8" x14ac:dyDescent="0.4">
      <c r="C55" s="75" t="str">
        <f>C7</f>
        <v/>
      </c>
      <c r="D55" s="75" t="str">
        <f>E7</f>
        <v/>
      </c>
      <c r="E55" s="75" t="str">
        <f>G7</f>
        <v>On site boundary</v>
      </c>
      <c r="F55" s="76" t="str">
        <f>IFERROR(AVERAGE(I7:J7, I21:J21,I26:J26,I31:J31),"")</f>
        <v/>
      </c>
      <c r="G55" s="56" t="str" cm="1">
        <f t="array" ref="G55">IFERROR(INDEX(Table517276[EQS category ref], MATCH(1, (Table4771[[#This Row],[Abiotic indicator]]=Table517276[Abiotic index ref])*(Table4771[[#This Row],[Avg. indicator value]]&gt;=Table517276[Equal or larger than])*(Table4771[[#This Row],[Avg. indicator value]]&lt;Table517276[smaller than]),0)),"")</f>
        <v/>
      </c>
      <c r="H55" s="75" t="str" cm="1">
        <f t="array" ref="H55">IFERROR(_xlfn.IFS(Table4771[[#This Row],[EQS category]]="Bad",5, Table4771[[#This Row],[EQS category]]="Poor",4, Table4771[[#This Row],[EQS category]]="Moderate",3, Table4771[[#This Row],[EQS category]]="Good",2, Table4771[[#This Row],[EQS category]]="High",1),"")</f>
        <v/>
      </c>
    </row>
    <row r="56" spans="3:8" x14ac:dyDescent="0.4">
      <c r="C56" s="75" t="str">
        <f>C12</f>
        <v/>
      </c>
      <c r="D56" s="75" t="str">
        <f>E12</f>
        <v>Redox potential (EhNHE)</v>
      </c>
      <c r="E56" s="75" t="str">
        <f>G12</f>
        <v>On site boundary</v>
      </c>
      <c r="F56" s="76" t="str">
        <f>IFERROR(AVERAGE(I12:J12, I36:J36,I41:J41,I46:J46),"")</f>
        <v/>
      </c>
      <c r="G56" s="56" t="str" cm="1">
        <f t="array" ref="G56">IFERROR(INDEX(Table517276[EQS category ref], MATCH(1, (Table4771[[#This Row],[Abiotic indicator]]=Table517276[Abiotic index ref])*(Table4771[[#This Row],[Avg. indicator value]]&gt;=Table517276[Equal or larger than])*(Table4771[[#This Row],[Avg. indicator value]]&lt;Table517276[smaller than]),0)),"")</f>
        <v/>
      </c>
      <c r="H56" s="75" t="str" cm="1">
        <f t="array" ref="H56">IFERROR(_xlfn.IFS(Table4771[[#This Row],[EQS category]]="Bad",5, Table4771[[#This Row],[EQS category]]="Poor",4, Table4771[[#This Row],[EQS category]]="Moderate",3, Table4771[[#This Row],[EQS category]]="Good",2, Table4771[[#This Row],[EQS category]]="High",1),"")</f>
        <v/>
      </c>
    </row>
    <row r="57" spans="3:8" x14ac:dyDescent="0.4">
      <c r="C57" s="75" t="str">
        <f>C8</f>
        <v/>
      </c>
      <c r="D57" s="75" t="str">
        <f>E8</f>
        <v/>
      </c>
      <c r="E57" s="75" t="str">
        <f>G8</f>
        <v>Outside site boundary</v>
      </c>
      <c r="F57" s="76" t="str">
        <f>IFERROR(AVERAGE(I8:J9, I22:J23,I27:J28,I32:J33),"")</f>
        <v/>
      </c>
      <c r="G57" s="56" t="str" cm="1">
        <f t="array" ref="G57">IFERROR(INDEX(Table517276[EQS category ref], MATCH(1, (Table4771[[#This Row],[Abiotic indicator]]=Table517276[Abiotic index ref])*(Table4771[[#This Row],[Avg. indicator value]]&gt;=Table517276[Equal or larger than])*(Table4771[[#This Row],[Avg. indicator value]]&lt;Table517276[smaller than]),0)),"")</f>
        <v/>
      </c>
      <c r="H57" s="75" t="str" cm="1">
        <f t="array" ref="H57">IFERROR(_xlfn.IFS(Table4771[[#This Row],[EQS category]]="Bad",5, Table4771[[#This Row],[EQS category]]="Poor",4, Table4771[[#This Row],[EQS category]]="Moderate",3, Table4771[[#This Row],[EQS category]]="Good",2, Table4771[[#This Row],[EQS category]]="High",1),"")</f>
        <v/>
      </c>
    </row>
    <row r="58" spans="3:8" x14ac:dyDescent="0.4">
      <c r="C58" s="75" t="str">
        <f>C13</f>
        <v/>
      </c>
      <c r="D58" s="75" t="str">
        <f>E13</f>
        <v>Redox potential (EhNHE)</v>
      </c>
      <c r="E58" s="75" t="str">
        <f>G13</f>
        <v>Outside site boundary</v>
      </c>
      <c r="F58" s="76" t="str">
        <f>IFERROR(AVERAGE(I13:J14, I37:J38,I42:J43,I47:J48),"")</f>
        <v/>
      </c>
      <c r="G58" s="56" t="str" cm="1">
        <f t="array" ref="G58">IFERROR(INDEX(Table517276[EQS category ref], MATCH(1, (Table4771[[#This Row],[Abiotic indicator]]=Table517276[Abiotic index ref])*(Table4771[[#This Row],[Avg. indicator value]]&gt;=Table517276[Equal or larger than])*(Table4771[[#This Row],[Avg. indicator value]]&lt;Table517276[smaller than]),0)),"")</f>
        <v/>
      </c>
      <c r="H58" s="75" t="str" cm="1">
        <f t="array" ref="H58">IFERROR(_xlfn.IFS(Table4771[[#This Row],[EQS category]]="Bad",5, Table4771[[#This Row],[EQS category]]="Poor",4, Table4771[[#This Row],[EQS category]]="Moderate",3, Table4771[[#This Row],[EQS category]]="Good",2, Table4771[[#This Row],[EQS category]]="High",1),"")</f>
        <v/>
      </c>
    </row>
    <row r="60" spans="3:8" x14ac:dyDescent="0.4">
      <c r="D60" s="18" t="s">
        <v>127</v>
      </c>
      <c r="E60" s="20"/>
      <c r="F60" s="20"/>
      <c r="G60" s="20"/>
    </row>
    <row r="61" spans="3:8" hidden="1" x14ac:dyDescent="0.4">
      <c r="C61" s="15">
        <v>6.27</v>
      </c>
      <c r="D61" s="15">
        <v>6.28</v>
      </c>
      <c r="E61" s="15">
        <v>6.29</v>
      </c>
      <c r="F61" s="15">
        <v>6.31</v>
      </c>
    </row>
    <row r="62" spans="3:8" ht="17.399999999999999" thickBot="1" x14ac:dyDescent="0.45">
      <c r="C62" s="64" t="s">
        <v>128</v>
      </c>
      <c r="D62" s="64" t="s">
        <v>80</v>
      </c>
      <c r="E62" s="79" t="s">
        <v>129</v>
      </c>
      <c r="F62" s="79" t="s">
        <v>130</v>
      </c>
      <c r="G62" s="24"/>
    </row>
    <row r="63" spans="3:8" ht="17.399999999999999" thickTop="1" x14ac:dyDescent="0.4">
      <c r="C63" s="75" t="str">
        <f>C53</f>
        <v/>
      </c>
      <c r="D63" s="80" t="str">
        <f>E53</f>
        <v>Inside site boundary</v>
      </c>
      <c r="E63" s="56" t="str" cm="1">
        <f t="array" ref="E63">IFERROR(_xlfn.IFS(D53= "Total Free Sulphide (S2-UV μM)", (H53*0.75+H54*0.25), D53="Total Free Sulphide (S2-ISE μM)", (H53+H54)/2),"")</f>
        <v/>
      </c>
      <c r="F63" s="56" t="str" cm="1">
        <f t="array" ref="F63">IFERROR(INDEX(Table2015[EQS category ref], MATCH(1,(Table484573[[#This Row],[Zone EQS score]]&gt;Table2015[Larger than])*(Table484573[[#This Row],[Zone EQS score]]&lt;=Table2015[Equal or smaller than]),0)),"")</f>
        <v/>
      </c>
    </row>
    <row r="64" spans="3:8" x14ac:dyDescent="0.4">
      <c r="C64" s="75" t="str">
        <f>C55</f>
        <v/>
      </c>
      <c r="D64" s="80" t="str">
        <f>E55</f>
        <v>On site boundary</v>
      </c>
      <c r="E64" s="56" t="str" cm="1">
        <f t="array" ref="E64">IFERROR(_xlfn.IFS(D55= "Total Free Sulphide (S2-UV μM)", (H55*0.75+H56*0.25), D55="Total Free Sulphide (S2-ISE μM)", (H55+H56)/2),"")</f>
        <v/>
      </c>
      <c r="F64" s="56" t="str" cm="1">
        <f t="array" ref="F64">IFERROR(INDEX(Table2015[EQS category ref], MATCH(1,(Table484573[[#This Row],[Zone EQS score]]&gt;Table2015[Larger than])*(Table484573[[#This Row],[Zone EQS score]]&lt;=Table2015[Equal or smaller than]),0)),"")</f>
        <v/>
      </c>
    </row>
    <row r="65" spans="3:6" x14ac:dyDescent="0.4">
      <c r="C65" s="75" t="str">
        <f>C57</f>
        <v/>
      </c>
      <c r="D65" s="80" t="str">
        <f>E57</f>
        <v>Outside site boundary</v>
      </c>
      <c r="E65" s="56" t="str" cm="1">
        <f t="array" ref="E65">IFERROR(_xlfn.IFS(D57= "Total Free Sulphide (S2-UV μM)", (H57*0.75+H58*0.25), D57="Total Free Sulphide (S2-ISE μM)",(H57+H58)/2),"")</f>
        <v/>
      </c>
      <c r="F65" s="56" t="str" cm="1">
        <f t="array" ref="F65">IFERROR(INDEX(Table2015[EQS category ref], MATCH(1,(Table484573[[#This Row],[Zone EQS score]]&gt;Table2015[Larger than])*(Table484573[[#This Row],[Zone EQS score]]&lt;=Table2015[Equal or smaller than]),0)),"")</f>
        <v/>
      </c>
    </row>
    <row r="67" spans="3:6" x14ac:dyDescent="0.4">
      <c r="D67" s="18" t="s">
        <v>131</v>
      </c>
    </row>
    <row r="68" spans="3:6" hidden="1" x14ac:dyDescent="0.4">
      <c r="C68" s="15">
        <v>6.32</v>
      </c>
      <c r="D68" s="15">
        <v>6.33</v>
      </c>
    </row>
    <row r="69" spans="3:6" x14ac:dyDescent="0.4">
      <c r="C69" s="64" t="s">
        <v>44</v>
      </c>
      <c r="D69" s="63" t="s">
        <v>168</v>
      </c>
    </row>
    <row r="70" spans="3:6" x14ac:dyDescent="0.4">
      <c r="C70" s="80" t="str">
        <f>C63</f>
        <v/>
      </c>
      <c r="D70" s="56" t="str" cm="1">
        <f t="array" ref="D70">IFERROR(INDEX(Table76[Benthic status], MATCH(1, (F63=Table76[Inside site boundary])*(F64=Table76[Outside site boundary])*(F65=Table76[Outside site boundary]), 0)),"")</f>
        <v/>
      </c>
    </row>
    <row r="72" spans="3:6" ht="16.2" customHeight="1" x14ac:dyDescent="0.4"/>
  </sheetData>
  <sheetProtection algorithmName="SHA-512" hashValue="imNVu0qcKfstLqTqndw9zIMxMRzhbhA46AjrUI9msXTKU8WfWWbJjgcy52zHiECi3b9+LuRJ0BghIgvpqaEAPw==" saltValue="BiSWCHGf3EHoFnDHyYHnuA==" spinCount="100000" sheet="1" objects="1" scenarios="1"/>
  <phoneticPr fontId="6" type="noConversion"/>
  <dataValidations count="2">
    <dataValidation type="decimal" allowBlank="1" showInputMessage="1" showErrorMessage="1" sqref="I19:J48 I5:J14" xr:uid="{4FF213C0-ADB5-4F48-9690-73D4E7382885}">
      <formula1>-100000</formula1>
      <formula2>100000</formula2>
    </dataValidation>
    <dataValidation type="date" allowBlank="1" showInputMessage="1" showErrorMessage="1" sqref="D19:D48 D5:D14" xr:uid="{70F145CB-0E08-4773-8F4A-5E31229A7535}">
      <formula1>43831</formula1>
      <formula2>73051</formula2>
    </dataValidation>
  </dataValidations>
  <pageMargins left="0.7" right="0.7" top="0.75" bottom="0.75" header="0.3" footer="0.3"/>
  <ignoredErrors>
    <ignoredError sqref="F53:F58 E63:E65 C63:C65" calculatedColumn="1"/>
    <ignoredError sqref="H10:H14 H34:H48" unlockedFormula="1"/>
    <ignoredError sqref="D55 E54 C54:C55" formula="1"/>
  </ignoredErrors>
  <drawing r:id="rId1"/>
  <tableParts count="8">
    <tablePart r:id="rId2"/>
    <tablePart r:id="rId3"/>
    <tablePart r:id="rId4"/>
    <tablePart r:id="rId5"/>
    <tablePart r:id="rId6"/>
    <tablePart r:id="rId7"/>
    <tablePart r:id="rId8"/>
    <tablePart r:id="rId9"/>
  </tableParts>
  <extLst>
    <ext xmlns:x14="http://schemas.microsoft.com/office/spreadsheetml/2009/9/main" uri="{CCE6A557-97BC-4b89-ADB6-D9C93CAAB3DF}">
      <x14:dataValidations xmlns:xm="http://schemas.microsoft.com/office/excel/2006/main" count="1">
        <x14:dataValidation type="list" allowBlank="1" showInputMessage="1" showErrorMessage="1" xr:uid="{66570993-E108-4DB6-B641-1FACE2D96412}">
          <x14:formula1>
            <xm:f>'Dropdown tables - Production'!$Y$2:$Y$4</xm:f>
          </x14:formula1>
          <xm:sqref>E5</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2A767A-0323-42D6-900D-6B0A02327870}">
  <sheetPr codeName="Sheet11">
    <tabColor theme="9" tint="0.59999389629810485"/>
  </sheetPr>
  <dimension ref="C1:AJ89"/>
  <sheetViews>
    <sheetView zoomScale="80" zoomScaleNormal="80" workbookViewId="0"/>
  </sheetViews>
  <sheetFormatPr defaultColWidth="9" defaultRowHeight="16.8" x14ac:dyDescent="0.4"/>
  <cols>
    <col min="1" max="1" width="9" style="15"/>
    <col min="2" max="2" width="0" style="15" hidden="1" customWidth="1"/>
    <col min="3" max="3" width="13.44140625" style="15" hidden="1" customWidth="1"/>
    <col min="4" max="4" width="22.77734375" style="15" customWidth="1"/>
    <col min="5" max="5" width="28.21875" style="15" customWidth="1"/>
    <col min="6" max="6" width="26.5546875" style="15" bestFit="1" customWidth="1"/>
    <col min="7" max="7" width="27" style="15" customWidth="1"/>
    <col min="8" max="8" width="21.21875" style="15" customWidth="1"/>
    <col min="9" max="9" width="13" style="15" customWidth="1"/>
    <col min="10" max="10" width="12.21875" style="15" customWidth="1"/>
    <col min="11" max="11" width="13.5546875" style="15" customWidth="1"/>
    <col min="12" max="26" width="9" style="15" customWidth="1"/>
    <col min="27" max="36" width="9" style="15" hidden="1" customWidth="1"/>
    <col min="37" max="38" width="0" style="15" hidden="1" customWidth="1"/>
    <col min="39" max="16384" width="9" style="15"/>
  </cols>
  <sheetData>
    <row r="1" spans="3:36" x14ac:dyDescent="0.4">
      <c r="W1" s="20"/>
      <c r="X1" s="20"/>
      <c r="Y1" s="20"/>
      <c r="Z1" s="20"/>
      <c r="AA1" s="20"/>
      <c r="AB1" s="20"/>
    </row>
    <row r="2" spans="3:36" x14ac:dyDescent="0.4">
      <c r="D2" s="18" t="s">
        <v>1926</v>
      </c>
      <c r="AA2" s="18" t="s">
        <v>134</v>
      </c>
      <c r="AH2" s="18" t="s">
        <v>76</v>
      </c>
      <c r="AI2"/>
    </row>
    <row r="3" spans="3:36" hidden="1" x14ac:dyDescent="0.4">
      <c r="C3" s="62">
        <v>6.1</v>
      </c>
      <c r="D3" s="62">
        <v>6.2</v>
      </c>
      <c r="E3" s="62">
        <v>6.3</v>
      </c>
      <c r="F3" s="62">
        <v>6.4</v>
      </c>
      <c r="G3" s="62">
        <v>6.5</v>
      </c>
      <c r="H3" s="62">
        <v>6.6</v>
      </c>
      <c r="I3" s="62">
        <v>6.7</v>
      </c>
      <c r="J3" s="62">
        <v>6.8</v>
      </c>
      <c r="K3" s="62">
        <v>6.9</v>
      </c>
      <c r="AI3"/>
      <c r="AJ3" s="20"/>
    </row>
    <row r="4" spans="3:36" ht="43.2" customHeight="1" thickBot="1" x14ac:dyDescent="0.45">
      <c r="C4" s="59" t="s">
        <v>44</v>
      </c>
      <c r="D4" s="58" t="s">
        <v>77</v>
      </c>
      <c r="E4" s="58" t="s">
        <v>136</v>
      </c>
      <c r="F4" s="61" t="s">
        <v>79</v>
      </c>
      <c r="G4" s="108" t="s">
        <v>80</v>
      </c>
      <c r="H4" s="61" t="s">
        <v>159</v>
      </c>
      <c r="I4" s="61" t="s">
        <v>82</v>
      </c>
      <c r="J4" s="61" t="s">
        <v>83</v>
      </c>
      <c r="K4" s="60" t="s">
        <v>56</v>
      </c>
      <c r="L4" s="62"/>
      <c r="S4" s="62"/>
      <c r="AA4" s="15" t="s">
        <v>137</v>
      </c>
      <c r="AB4" s="15" t="s">
        <v>85</v>
      </c>
      <c r="AC4" s="15" t="s">
        <v>86</v>
      </c>
      <c r="AD4" s="15" t="s">
        <v>87</v>
      </c>
      <c r="AE4" s="15" t="s">
        <v>56</v>
      </c>
      <c r="AH4" s="93" t="s">
        <v>160</v>
      </c>
      <c r="AI4" s="77" t="s">
        <v>161</v>
      </c>
      <c r="AJ4" s="85" t="s">
        <v>92</v>
      </c>
    </row>
    <row r="5" spans="3:36" ht="17.399999999999999" thickTop="1" x14ac:dyDescent="0.4">
      <c r="C5" s="56" t="str">
        <f>IF('Site and production details'!C5= 0, "", 'Site and production details'!C5)</f>
        <v/>
      </c>
      <c r="D5" s="153"/>
      <c r="E5" s="192" t="s">
        <v>93</v>
      </c>
      <c r="F5" s="210" t="s">
        <v>94</v>
      </c>
      <c r="G5" s="117" t="s">
        <v>160</v>
      </c>
      <c r="H5" s="210" t="s">
        <v>162</v>
      </c>
      <c r="I5" s="210"/>
      <c r="J5" s="210"/>
      <c r="K5" s="172"/>
      <c r="AA5" s="15" t="s">
        <v>140</v>
      </c>
      <c r="AB5" s="21">
        <v>80.000010000000003</v>
      </c>
      <c r="AC5" s="21">
        <v>10000000</v>
      </c>
      <c r="AD5" s="15" t="s">
        <v>98</v>
      </c>
      <c r="AE5" s="15" t="s">
        <v>141</v>
      </c>
      <c r="AH5" s="95" t="s">
        <v>100</v>
      </c>
      <c r="AI5" s="69" t="s">
        <v>100</v>
      </c>
      <c r="AJ5" s="86" t="s">
        <v>102</v>
      </c>
    </row>
    <row r="6" spans="3:36" x14ac:dyDescent="0.4">
      <c r="C6" s="56" t="str">
        <f>C$5</f>
        <v/>
      </c>
      <c r="D6" s="153"/>
      <c r="E6" s="118" t="str">
        <f>IF(E5 = "Select", "", E5)</f>
        <v/>
      </c>
      <c r="F6" s="30" t="s">
        <v>94</v>
      </c>
      <c r="G6" s="56" t="s">
        <v>160</v>
      </c>
      <c r="H6" s="30" t="s">
        <v>163</v>
      </c>
      <c r="I6" s="30"/>
      <c r="J6" s="30"/>
      <c r="K6" s="173"/>
      <c r="AA6" s="15" t="s">
        <v>140</v>
      </c>
      <c r="AB6" s="21">
        <v>50</v>
      </c>
      <c r="AC6" s="21">
        <v>80.000010000000003</v>
      </c>
      <c r="AD6" s="15" t="s">
        <v>105</v>
      </c>
      <c r="AG6" s="20"/>
      <c r="AH6" s="97" t="s">
        <v>100</v>
      </c>
      <c r="AI6" s="57" t="s">
        <v>101</v>
      </c>
      <c r="AJ6" s="87" t="s">
        <v>102</v>
      </c>
    </row>
    <row r="7" spans="3:36" x14ac:dyDescent="0.4">
      <c r="C7" s="56" t="str">
        <f t="shared" ref="C7:C62" si="0">C$5</f>
        <v/>
      </c>
      <c r="D7" s="153"/>
      <c r="E7" s="118" t="str">
        <f t="shared" ref="E7:E9" si="1">IF(E6 = "Select", "", E6)</f>
        <v/>
      </c>
      <c r="F7" s="30" t="s">
        <v>94</v>
      </c>
      <c r="G7" s="56" t="s">
        <v>164</v>
      </c>
      <c r="H7" s="30" t="s">
        <v>165</v>
      </c>
      <c r="I7" s="30"/>
      <c r="J7" s="30"/>
      <c r="K7" s="173"/>
      <c r="AA7" s="15" t="s">
        <v>140</v>
      </c>
      <c r="AB7" s="21">
        <v>35</v>
      </c>
      <c r="AC7" s="21">
        <v>50</v>
      </c>
      <c r="AD7" s="15" t="s">
        <v>108</v>
      </c>
      <c r="AG7" s="20"/>
      <c r="AH7" s="95" t="s">
        <v>100</v>
      </c>
      <c r="AI7" s="69" t="s">
        <v>108</v>
      </c>
      <c r="AJ7" s="86" t="s">
        <v>102</v>
      </c>
    </row>
    <row r="8" spans="3:36" x14ac:dyDescent="0.4">
      <c r="C8" s="56" t="str">
        <f t="shared" si="0"/>
        <v/>
      </c>
      <c r="D8" s="153"/>
      <c r="E8" s="118" t="str">
        <f t="shared" si="1"/>
        <v/>
      </c>
      <c r="F8" s="30" t="s">
        <v>94</v>
      </c>
      <c r="G8" s="56" t="s">
        <v>161</v>
      </c>
      <c r="H8" s="30" t="s">
        <v>166</v>
      </c>
      <c r="I8" s="30"/>
      <c r="J8" s="30"/>
      <c r="K8" s="173"/>
      <c r="AA8" s="15" t="s">
        <v>140</v>
      </c>
      <c r="AB8" s="21">
        <v>15</v>
      </c>
      <c r="AC8" s="21">
        <v>35</v>
      </c>
      <c r="AD8" s="15" t="s">
        <v>100</v>
      </c>
      <c r="AG8" s="20"/>
      <c r="AH8" s="97" t="s">
        <v>100</v>
      </c>
      <c r="AI8" s="57" t="s">
        <v>105</v>
      </c>
      <c r="AJ8" s="87" t="s">
        <v>102</v>
      </c>
    </row>
    <row r="9" spans="3:36" x14ac:dyDescent="0.4">
      <c r="C9" s="56" t="str">
        <f t="shared" si="0"/>
        <v/>
      </c>
      <c r="D9" s="153"/>
      <c r="E9" s="118" t="str">
        <f t="shared" si="1"/>
        <v/>
      </c>
      <c r="F9" s="211" t="s">
        <v>94</v>
      </c>
      <c r="G9" s="120" t="s">
        <v>161</v>
      </c>
      <c r="H9" s="211" t="s">
        <v>167</v>
      </c>
      <c r="I9" s="211"/>
      <c r="J9" s="211"/>
      <c r="K9" s="174"/>
      <c r="AA9" s="15" t="s">
        <v>140</v>
      </c>
      <c r="AB9" s="21">
        <v>0</v>
      </c>
      <c r="AC9" s="21">
        <v>15</v>
      </c>
      <c r="AD9" s="15" t="s">
        <v>101</v>
      </c>
      <c r="AE9" s="15" t="s">
        <v>111</v>
      </c>
      <c r="AH9" s="95" t="s">
        <v>100</v>
      </c>
      <c r="AI9" s="69" t="s">
        <v>98</v>
      </c>
      <c r="AJ9" s="86" t="s">
        <v>102</v>
      </c>
    </row>
    <row r="10" spans="3:36" x14ac:dyDescent="0.4">
      <c r="C10" s="56" t="str">
        <f t="shared" si="0"/>
        <v/>
      </c>
      <c r="D10" s="153"/>
      <c r="E10" s="118" t="str">
        <f t="shared" ref="E10:E24" si="2">IF(E9 = "Select", "", E9)</f>
        <v/>
      </c>
      <c r="F10" s="210" t="s">
        <v>116</v>
      </c>
      <c r="G10" s="117" t="s">
        <v>160</v>
      </c>
      <c r="H10" s="210" t="s">
        <v>162</v>
      </c>
      <c r="I10" s="210"/>
      <c r="J10" s="210"/>
      <c r="K10" s="172"/>
      <c r="Y10" s="20"/>
      <c r="Z10" s="20"/>
      <c r="AA10" s="15" t="s">
        <v>142</v>
      </c>
      <c r="AB10" s="21">
        <v>0</v>
      </c>
      <c r="AC10" s="21">
        <v>20</v>
      </c>
      <c r="AD10" s="15" t="s">
        <v>98</v>
      </c>
      <c r="AE10" s="15" t="s">
        <v>111</v>
      </c>
      <c r="AH10" s="97" t="s">
        <v>101</v>
      </c>
      <c r="AI10" s="57" t="s">
        <v>100</v>
      </c>
      <c r="AJ10" s="87" t="s">
        <v>102</v>
      </c>
    </row>
    <row r="11" spans="3:36" x14ac:dyDescent="0.4">
      <c r="C11" s="56" t="str">
        <f t="shared" si="0"/>
        <v/>
      </c>
      <c r="D11" s="153"/>
      <c r="E11" s="118" t="str">
        <f t="shared" si="2"/>
        <v/>
      </c>
      <c r="F11" s="30" t="s">
        <v>116</v>
      </c>
      <c r="G11" s="56" t="s">
        <v>160</v>
      </c>
      <c r="H11" s="30" t="s">
        <v>163</v>
      </c>
      <c r="I11" s="30"/>
      <c r="J11" s="30"/>
      <c r="K11" s="173"/>
      <c r="AA11" s="15" t="s">
        <v>142</v>
      </c>
      <c r="AB11" s="21">
        <v>20</v>
      </c>
      <c r="AC11" s="21">
        <v>40.000010000000003</v>
      </c>
      <c r="AD11" s="15" t="s">
        <v>105</v>
      </c>
      <c r="AH11" s="95" t="s">
        <v>101</v>
      </c>
      <c r="AI11" s="69" t="s">
        <v>101</v>
      </c>
      <c r="AJ11" s="86" t="s">
        <v>102</v>
      </c>
    </row>
    <row r="12" spans="3:36" x14ac:dyDescent="0.4">
      <c r="C12" s="56" t="str">
        <f t="shared" si="0"/>
        <v/>
      </c>
      <c r="D12" s="153"/>
      <c r="E12" s="118" t="str">
        <f t="shared" si="2"/>
        <v/>
      </c>
      <c r="F12" s="30" t="s">
        <v>116</v>
      </c>
      <c r="G12" s="56" t="s">
        <v>164</v>
      </c>
      <c r="H12" s="30" t="s">
        <v>165</v>
      </c>
      <c r="I12" s="30"/>
      <c r="J12" s="30"/>
      <c r="K12" s="173"/>
      <c r="AA12" s="15" t="s">
        <v>142</v>
      </c>
      <c r="AB12" s="21">
        <v>40.000010000000003</v>
      </c>
      <c r="AC12" s="21">
        <v>60.000010000000003</v>
      </c>
      <c r="AD12" s="15" t="s">
        <v>108</v>
      </c>
      <c r="AH12" s="97" t="s">
        <v>101</v>
      </c>
      <c r="AI12" s="57" t="s">
        <v>108</v>
      </c>
      <c r="AJ12" s="87" t="s">
        <v>102</v>
      </c>
    </row>
    <row r="13" spans="3:36" x14ac:dyDescent="0.4">
      <c r="C13" s="56" t="str">
        <f t="shared" si="0"/>
        <v/>
      </c>
      <c r="D13" s="153"/>
      <c r="E13" s="118" t="str">
        <f t="shared" si="2"/>
        <v/>
      </c>
      <c r="F13" s="30" t="s">
        <v>116</v>
      </c>
      <c r="G13" s="56" t="s">
        <v>161</v>
      </c>
      <c r="H13" s="30" t="s">
        <v>166</v>
      </c>
      <c r="I13" s="30"/>
      <c r="J13" s="30"/>
      <c r="K13" s="173"/>
      <c r="Y13" s="20"/>
      <c r="Z13" s="20"/>
      <c r="AA13" s="15" t="s">
        <v>142</v>
      </c>
      <c r="AB13" s="21">
        <v>60.000010000000003</v>
      </c>
      <c r="AC13" s="21">
        <v>80.000010000000003</v>
      </c>
      <c r="AD13" s="15" t="s">
        <v>100</v>
      </c>
      <c r="AH13" s="95" t="s">
        <v>101</v>
      </c>
      <c r="AI13" s="69" t="s">
        <v>105</v>
      </c>
      <c r="AJ13" s="86" t="s">
        <v>102</v>
      </c>
    </row>
    <row r="14" spans="3:36" x14ac:dyDescent="0.4">
      <c r="C14" s="56" t="str">
        <f t="shared" si="0"/>
        <v/>
      </c>
      <c r="D14" s="153"/>
      <c r="E14" s="118" t="str">
        <f t="shared" si="2"/>
        <v/>
      </c>
      <c r="F14" s="211" t="s">
        <v>116</v>
      </c>
      <c r="G14" s="120" t="s">
        <v>161</v>
      </c>
      <c r="H14" s="211" t="s">
        <v>167</v>
      </c>
      <c r="I14" s="211"/>
      <c r="J14" s="211"/>
      <c r="K14" s="174"/>
      <c r="AA14" s="15" t="s">
        <v>142</v>
      </c>
      <c r="AB14" s="21">
        <v>80.000010000000003</v>
      </c>
      <c r="AC14" s="21">
        <v>10000000</v>
      </c>
      <c r="AD14" s="15" t="s">
        <v>101</v>
      </c>
      <c r="AE14" s="15" t="s">
        <v>141</v>
      </c>
      <c r="AH14" s="97" t="s">
        <v>101</v>
      </c>
      <c r="AI14" s="57" t="s">
        <v>98</v>
      </c>
      <c r="AJ14" s="87" t="s">
        <v>102</v>
      </c>
    </row>
    <row r="15" spans="3:36" x14ac:dyDescent="0.4">
      <c r="C15" s="56" t="str">
        <f t="shared" si="0"/>
        <v/>
      </c>
      <c r="D15" s="153"/>
      <c r="E15" s="118" t="str">
        <f t="shared" si="2"/>
        <v/>
      </c>
      <c r="F15" s="210" t="s">
        <v>117</v>
      </c>
      <c r="G15" s="117" t="s">
        <v>160</v>
      </c>
      <c r="H15" s="210" t="s">
        <v>162</v>
      </c>
      <c r="I15" s="210"/>
      <c r="J15" s="210"/>
      <c r="K15" s="172"/>
      <c r="AA15" s="15" t="s">
        <v>143</v>
      </c>
      <c r="AB15" s="21">
        <v>0</v>
      </c>
      <c r="AC15" s="21">
        <v>3.1E-2</v>
      </c>
      <c r="AD15" s="15" t="s">
        <v>98</v>
      </c>
      <c r="AH15" s="95" t="s">
        <v>108</v>
      </c>
      <c r="AI15" s="69" t="s">
        <v>100</v>
      </c>
      <c r="AJ15" s="86" t="s">
        <v>102</v>
      </c>
    </row>
    <row r="16" spans="3:36" x14ac:dyDescent="0.4">
      <c r="C16" s="56" t="str">
        <f t="shared" si="0"/>
        <v/>
      </c>
      <c r="D16" s="153"/>
      <c r="E16" s="118" t="str">
        <f t="shared" si="2"/>
        <v/>
      </c>
      <c r="F16" s="30" t="s">
        <v>117</v>
      </c>
      <c r="G16" s="56" t="s">
        <v>160</v>
      </c>
      <c r="H16" s="30" t="s">
        <v>163</v>
      </c>
      <c r="I16" s="30"/>
      <c r="J16" s="30"/>
      <c r="K16" s="173"/>
      <c r="AA16" s="15" t="s">
        <v>143</v>
      </c>
      <c r="AB16" s="21">
        <v>3.1E-2</v>
      </c>
      <c r="AC16" s="21">
        <v>0.12600001</v>
      </c>
      <c r="AD16" s="15" t="s">
        <v>105</v>
      </c>
      <c r="AH16" s="97" t="s">
        <v>108</v>
      </c>
      <c r="AI16" s="57" t="s">
        <v>101</v>
      </c>
      <c r="AJ16" s="87" t="s">
        <v>102</v>
      </c>
    </row>
    <row r="17" spans="3:36" x14ac:dyDescent="0.4">
      <c r="C17" s="56" t="str">
        <f t="shared" si="0"/>
        <v/>
      </c>
      <c r="D17" s="153"/>
      <c r="E17" s="118" t="str">
        <f t="shared" si="2"/>
        <v/>
      </c>
      <c r="F17" s="30" t="s">
        <v>117</v>
      </c>
      <c r="G17" s="56" t="s">
        <v>164</v>
      </c>
      <c r="H17" s="30" t="s">
        <v>165</v>
      </c>
      <c r="I17" s="30"/>
      <c r="J17" s="30"/>
      <c r="K17" s="173"/>
      <c r="AA17" s="15" t="s">
        <v>143</v>
      </c>
      <c r="AB17" s="21">
        <v>0.12600001</v>
      </c>
      <c r="AC17" s="21">
        <v>0.18700000999999999</v>
      </c>
      <c r="AD17" s="15" t="s">
        <v>108</v>
      </c>
      <c r="AH17" s="95" t="s">
        <v>108</v>
      </c>
      <c r="AI17" s="69" t="s">
        <v>108</v>
      </c>
      <c r="AJ17" s="86" t="s">
        <v>133</v>
      </c>
    </row>
    <row r="18" spans="3:36" x14ac:dyDescent="0.4">
      <c r="C18" s="56" t="str">
        <f t="shared" si="0"/>
        <v/>
      </c>
      <c r="D18" s="153"/>
      <c r="E18" s="118" t="str">
        <f t="shared" si="2"/>
        <v/>
      </c>
      <c r="F18" s="30" t="s">
        <v>117</v>
      </c>
      <c r="G18" s="56" t="s">
        <v>161</v>
      </c>
      <c r="H18" s="30" t="s">
        <v>166</v>
      </c>
      <c r="I18" s="30"/>
      <c r="J18" s="30"/>
      <c r="K18" s="173"/>
      <c r="AA18" s="15" t="s">
        <v>143</v>
      </c>
      <c r="AB18" s="21">
        <v>0.18700000999999999</v>
      </c>
      <c r="AC18" s="21">
        <v>0.23700001000000001</v>
      </c>
      <c r="AD18" s="15" t="s">
        <v>100</v>
      </c>
      <c r="AH18" s="97" t="s">
        <v>108</v>
      </c>
      <c r="AI18" s="57" t="s">
        <v>105</v>
      </c>
      <c r="AJ18" s="87" t="s">
        <v>133</v>
      </c>
    </row>
    <row r="19" spans="3:36" x14ac:dyDescent="0.4">
      <c r="C19" s="56" t="str">
        <f t="shared" si="0"/>
        <v/>
      </c>
      <c r="D19" s="153"/>
      <c r="E19" s="118" t="str">
        <f t="shared" si="2"/>
        <v/>
      </c>
      <c r="F19" s="211" t="s">
        <v>117</v>
      </c>
      <c r="G19" s="120" t="s">
        <v>161</v>
      </c>
      <c r="H19" s="211" t="s">
        <v>167</v>
      </c>
      <c r="I19" s="211"/>
      <c r="J19" s="211"/>
      <c r="K19" s="174"/>
      <c r="AA19" s="15" t="s">
        <v>143</v>
      </c>
      <c r="AB19" s="21">
        <v>0.23700001000000001</v>
      </c>
      <c r="AC19" s="21">
        <v>10000000</v>
      </c>
      <c r="AD19" s="15" t="s">
        <v>101</v>
      </c>
      <c r="AE19" s="15" t="s">
        <v>141</v>
      </c>
      <c r="AH19" s="95" t="s">
        <v>108</v>
      </c>
      <c r="AI19" s="69" t="s">
        <v>98</v>
      </c>
      <c r="AJ19" s="86" t="s">
        <v>133</v>
      </c>
    </row>
    <row r="20" spans="3:36" x14ac:dyDescent="0.4">
      <c r="C20" s="56" t="str">
        <f t="shared" si="0"/>
        <v/>
      </c>
      <c r="D20" s="153"/>
      <c r="E20" s="118" t="str">
        <f t="shared" si="2"/>
        <v/>
      </c>
      <c r="F20" s="210" t="s">
        <v>122</v>
      </c>
      <c r="G20" s="117" t="s">
        <v>160</v>
      </c>
      <c r="H20" s="210" t="s">
        <v>162</v>
      </c>
      <c r="I20" s="210"/>
      <c r="J20" s="210"/>
      <c r="K20" s="172"/>
      <c r="AA20" s="15" t="s">
        <v>144</v>
      </c>
      <c r="AB20" s="21">
        <v>0</v>
      </c>
      <c r="AC20" s="21">
        <v>1.2</v>
      </c>
      <c r="AD20" s="15" t="s">
        <v>98</v>
      </c>
      <c r="AE20" s="15" t="s">
        <v>111</v>
      </c>
      <c r="AH20" s="97" t="s">
        <v>105</v>
      </c>
      <c r="AI20" s="57" t="s">
        <v>100</v>
      </c>
      <c r="AJ20" s="87" t="s">
        <v>102</v>
      </c>
    </row>
    <row r="21" spans="3:36" x14ac:dyDescent="0.4">
      <c r="C21" s="56" t="str">
        <f t="shared" si="0"/>
        <v/>
      </c>
      <c r="D21" s="153"/>
      <c r="E21" s="118" t="str">
        <f t="shared" si="2"/>
        <v/>
      </c>
      <c r="F21" s="30" t="s">
        <v>122</v>
      </c>
      <c r="G21" s="56" t="s">
        <v>160</v>
      </c>
      <c r="H21" s="30" t="s">
        <v>163</v>
      </c>
      <c r="I21" s="30"/>
      <c r="J21" s="30"/>
      <c r="K21" s="173"/>
      <c r="AA21" s="15" t="s">
        <v>144</v>
      </c>
      <c r="AB21" s="21">
        <v>1.2000010000000001</v>
      </c>
      <c r="AC21" s="21">
        <v>3.0000100000000001</v>
      </c>
      <c r="AD21" s="15" t="s">
        <v>105</v>
      </c>
      <c r="AH21" s="95" t="s">
        <v>105</v>
      </c>
      <c r="AI21" s="69" t="s">
        <v>101</v>
      </c>
      <c r="AJ21" s="86" t="s">
        <v>102</v>
      </c>
    </row>
    <row r="22" spans="3:36" x14ac:dyDescent="0.4">
      <c r="C22" s="56" t="str">
        <f t="shared" si="0"/>
        <v/>
      </c>
      <c r="D22" s="153"/>
      <c r="E22" s="118" t="str">
        <f t="shared" si="2"/>
        <v/>
      </c>
      <c r="F22" s="30" t="s">
        <v>122</v>
      </c>
      <c r="G22" s="56" t="s">
        <v>164</v>
      </c>
      <c r="H22" s="30" t="s">
        <v>165</v>
      </c>
      <c r="I22" s="30"/>
      <c r="J22" s="30"/>
      <c r="K22" s="173"/>
      <c r="AA22" s="15" t="s">
        <v>144</v>
      </c>
      <c r="AB22" s="21">
        <v>3.0000100000000001</v>
      </c>
      <c r="AC22" s="21">
        <v>3.9000010000000001</v>
      </c>
      <c r="AD22" s="15" t="s">
        <v>108</v>
      </c>
      <c r="AH22" s="97" t="s">
        <v>105</v>
      </c>
      <c r="AI22" s="57" t="s">
        <v>108</v>
      </c>
      <c r="AJ22" s="87" t="s">
        <v>133</v>
      </c>
    </row>
    <row r="23" spans="3:36" x14ac:dyDescent="0.4">
      <c r="C23" s="56" t="str">
        <f t="shared" si="0"/>
        <v/>
      </c>
      <c r="D23" s="153"/>
      <c r="E23" s="118" t="str">
        <f t="shared" si="2"/>
        <v/>
      </c>
      <c r="F23" s="30" t="s">
        <v>122</v>
      </c>
      <c r="G23" s="56" t="s">
        <v>161</v>
      </c>
      <c r="H23" s="30" t="s">
        <v>166</v>
      </c>
      <c r="I23" s="30"/>
      <c r="J23" s="30"/>
      <c r="K23" s="173"/>
      <c r="AA23" s="15" t="s">
        <v>144</v>
      </c>
      <c r="AB23" s="21">
        <v>3.9000010000000001</v>
      </c>
      <c r="AC23" s="21">
        <v>4.800001</v>
      </c>
      <c r="AD23" s="15" t="s">
        <v>100</v>
      </c>
      <c r="AH23" s="95" t="s">
        <v>105</v>
      </c>
      <c r="AI23" s="69" t="s">
        <v>105</v>
      </c>
      <c r="AJ23" s="86" t="s">
        <v>133</v>
      </c>
    </row>
    <row r="24" spans="3:36" x14ac:dyDescent="0.4">
      <c r="C24" s="56" t="str">
        <f t="shared" si="0"/>
        <v/>
      </c>
      <c r="D24" s="153"/>
      <c r="E24" s="121" t="str">
        <f t="shared" si="2"/>
        <v/>
      </c>
      <c r="F24" s="211" t="s">
        <v>122</v>
      </c>
      <c r="G24" s="120" t="s">
        <v>161</v>
      </c>
      <c r="H24" s="211" t="s">
        <v>167</v>
      </c>
      <c r="I24" s="211"/>
      <c r="J24" s="211"/>
      <c r="K24" s="174"/>
      <c r="AA24" s="15" t="s">
        <v>144</v>
      </c>
      <c r="AB24" s="21">
        <v>4.800001</v>
      </c>
      <c r="AC24" s="21">
        <v>10000000</v>
      </c>
      <c r="AD24" s="15" t="s">
        <v>101</v>
      </c>
      <c r="AE24" s="15" t="s">
        <v>141</v>
      </c>
      <c r="AH24" s="97" t="s">
        <v>105</v>
      </c>
      <c r="AI24" s="57" t="s">
        <v>98</v>
      </c>
      <c r="AJ24" s="87" t="s">
        <v>133</v>
      </c>
    </row>
    <row r="25" spans="3:36" x14ac:dyDescent="0.4">
      <c r="C25" s="56" t="str">
        <f t="shared" si="0"/>
        <v/>
      </c>
      <c r="D25" s="153"/>
      <c r="E25" s="192" t="s">
        <v>93</v>
      </c>
      <c r="F25" s="210" t="s">
        <v>94</v>
      </c>
      <c r="G25" s="117" t="s">
        <v>160</v>
      </c>
      <c r="H25" s="210" t="str">
        <f>H5</f>
        <v>20m inside boundary</v>
      </c>
      <c r="I25" s="210"/>
      <c r="J25" s="210"/>
      <c r="K25" s="172"/>
      <c r="AA25" s="15" t="s">
        <v>145</v>
      </c>
      <c r="AB25" s="21">
        <v>0.83000010000000002</v>
      </c>
      <c r="AC25" s="21">
        <v>10000000</v>
      </c>
      <c r="AD25" s="15" t="s">
        <v>98</v>
      </c>
      <c r="AE25" s="15" t="s">
        <v>141</v>
      </c>
      <c r="AH25" s="95" t="s">
        <v>98</v>
      </c>
      <c r="AI25" s="69" t="s">
        <v>100</v>
      </c>
      <c r="AJ25" s="86" t="s">
        <v>102</v>
      </c>
    </row>
    <row r="26" spans="3:36" x14ac:dyDescent="0.4">
      <c r="C26" s="56" t="str">
        <f t="shared" si="0"/>
        <v/>
      </c>
      <c r="D26" s="153"/>
      <c r="E26" s="114" t="str">
        <f>IF(E25 = "Select", "", E25)</f>
        <v/>
      </c>
      <c r="F26" s="30" t="s">
        <v>94</v>
      </c>
      <c r="G26" s="56" t="s">
        <v>160</v>
      </c>
      <c r="H26" s="30" t="str">
        <f t="shared" ref="H26:H44" si="3">H6</f>
        <v>10m inside boundary</v>
      </c>
      <c r="I26" s="30"/>
      <c r="J26" s="30"/>
      <c r="K26" s="173"/>
      <c r="AA26" s="15" t="s">
        <v>145</v>
      </c>
      <c r="AB26" s="21">
        <v>0.59000010000000003</v>
      </c>
      <c r="AC26" s="21">
        <v>0.83000010000000002</v>
      </c>
      <c r="AD26" s="15" t="s">
        <v>105</v>
      </c>
      <c r="AH26" s="97" t="s">
        <v>98</v>
      </c>
      <c r="AI26" s="57" t="s">
        <v>101</v>
      </c>
      <c r="AJ26" s="87" t="s">
        <v>102</v>
      </c>
    </row>
    <row r="27" spans="3:36" x14ac:dyDescent="0.4">
      <c r="C27" s="56" t="str">
        <f t="shared" si="0"/>
        <v/>
      </c>
      <c r="D27" s="153"/>
      <c r="E27" s="114" t="str">
        <f t="shared" ref="E27:E29" si="4">IF(E26 = "Select", "", E26)</f>
        <v/>
      </c>
      <c r="F27" s="30" t="s">
        <v>94</v>
      </c>
      <c r="G27" s="56" t="s">
        <v>164</v>
      </c>
      <c r="H27" s="30" t="str">
        <f t="shared" si="3"/>
        <v>0m on boundary</v>
      </c>
      <c r="I27" s="30"/>
      <c r="J27" s="30"/>
      <c r="K27" s="173"/>
      <c r="AA27" s="15" t="s">
        <v>145</v>
      </c>
      <c r="AB27" s="21">
        <v>0.47000009999999998</v>
      </c>
      <c r="AC27" s="21">
        <v>0.59000010000000003</v>
      </c>
      <c r="AD27" s="15" t="s">
        <v>108</v>
      </c>
      <c r="AH27" s="95" t="s">
        <v>98</v>
      </c>
      <c r="AI27" s="69" t="s">
        <v>108</v>
      </c>
      <c r="AJ27" s="86" t="s">
        <v>133</v>
      </c>
    </row>
    <row r="28" spans="3:36" x14ac:dyDescent="0.4">
      <c r="C28" s="56" t="str">
        <f t="shared" si="0"/>
        <v/>
      </c>
      <c r="D28" s="153"/>
      <c r="E28" s="114" t="str">
        <f t="shared" si="4"/>
        <v/>
      </c>
      <c r="F28" s="30" t="s">
        <v>94</v>
      </c>
      <c r="G28" s="56" t="s">
        <v>161</v>
      </c>
      <c r="H28" s="30" t="str">
        <f t="shared" si="3"/>
        <v>10m outside boundary</v>
      </c>
      <c r="I28" s="30"/>
      <c r="J28" s="30"/>
      <c r="K28" s="173"/>
      <c r="AA28" s="15" t="s">
        <v>145</v>
      </c>
      <c r="AB28" s="21">
        <v>0.35000009999999998</v>
      </c>
      <c r="AC28" s="21">
        <v>0.47000009999999998</v>
      </c>
      <c r="AD28" s="15" t="s">
        <v>100</v>
      </c>
      <c r="AH28" s="97" t="s">
        <v>98</v>
      </c>
      <c r="AI28" s="57" t="s">
        <v>105</v>
      </c>
      <c r="AJ28" s="87" t="s">
        <v>133</v>
      </c>
    </row>
    <row r="29" spans="3:36" x14ac:dyDescent="0.4">
      <c r="C29" s="56" t="str">
        <f t="shared" si="0"/>
        <v/>
      </c>
      <c r="D29" s="153"/>
      <c r="E29" s="114" t="str">
        <f t="shared" si="4"/>
        <v/>
      </c>
      <c r="F29" s="211" t="s">
        <v>94</v>
      </c>
      <c r="G29" s="120" t="s">
        <v>161</v>
      </c>
      <c r="H29" s="211" t="str">
        <f t="shared" si="3"/>
        <v>20m outside boundary</v>
      </c>
      <c r="I29" s="211"/>
      <c r="J29" s="211"/>
      <c r="K29" s="174"/>
      <c r="AA29" s="15" t="s">
        <v>145</v>
      </c>
      <c r="AB29" s="21">
        <v>0</v>
      </c>
      <c r="AC29" s="21">
        <v>0.35000009999999998</v>
      </c>
      <c r="AD29" s="15" t="s">
        <v>101</v>
      </c>
      <c r="AE29" s="15" t="s">
        <v>111</v>
      </c>
      <c r="AH29" s="98" t="s">
        <v>98</v>
      </c>
      <c r="AI29" s="88" t="s">
        <v>98</v>
      </c>
      <c r="AJ29" s="89" t="s">
        <v>133</v>
      </c>
    </row>
    <row r="30" spans="3:36" x14ac:dyDescent="0.4">
      <c r="C30" s="56" t="str">
        <f t="shared" si="0"/>
        <v/>
      </c>
      <c r="D30" s="153"/>
      <c r="E30" s="114" t="str">
        <f t="shared" ref="E30:E44" si="5">IF(E29 = "Select", "", E29)</f>
        <v/>
      </c>
      <c r="F30" s="210" t="s">
        <v>116</v>
      </c>
      <c r="G30" s="117" t="s">
        <v>160</v>
      </c>
      <c r="H30" s="210" t="str">
        <f t="shared" si="3"/>
        <v>20m inside boundary</v>
      </c>
      <c r="I30" s="210"/>
      <c r="J30" s="210"/>
      <c r="K30" s="172"/>
      <c r="AA30" s="15" t="s">
        <v>146</v>
      </c>
      <c r="AB30" s="21">
        <v>8.0000099999999996</v>
      </c>
      <c r="AC30" s="21">
        <v>100</v>
      </c>
      <c r="AD30" s="15" t="s">
        <v>98</v>
      </c>
    </row>
    <row r="31" spans="3:36" x14ac:dyDescent="0.4">
      <c r="C31" s="56" t="str">
        <f t="shared" si="0"/>
        <v/>
      </c>
      <c r="D31" s="153"/>
      <c r="E31" s="114" t="str">
        <f t="shared" si="5"/>
        <v/>
      </c>
      <c r="F31" s="30" t="s">
        <v>116</v>
      </c>
      <c r="G31" s="56" t="s">
        <v>160</v>
      </c>
      <c r="H31" s="30" t="str">
        <f t="shared" si="3"/>
        <v>10m inside boundary</v>
      </c>
      <c r="I31" s="30"/>
      <c r="J31" s="30"/>
      <c r="K31" s="173"/>
      <c r="AA31" s="15" t="s">
        <v>146</v>
      </c>
      <c r="AB31" s="21">
        <v>6</v>
      </c>
      <c r="AC31" s="21">
        <v>8.0000099999999996</v>
      </c>
      <c r="AD31" s="15" t="s">
        <v>105</v>
      </c>
    </row>
    <row r="32" spans="3:36" x14ac:dyDescent="0.4">
      <c r="C32" s="56" t="str">
        <f t="shared" si="0"/>
        <v/>
      </c>
      <c r="D32" s="153"/>
      <c r="E32" s="114" t="str">
        <f t="shared" si="5"/>
        <v/>
      </c>
      <c r="F32" s="30" t="s">
        <v>116</v>
      </c>
      <c r="G32" s="56" t="s">
        <v>164</v>
      </c>
      <c r="H32" s="30" t="str">
        <f t="shared" si="3"/>
        <v>0m on boundary</v>
      </c>
      <c r="I32" s="30"/>
      <c r="J32" s="30"/>
      <c r="K32" s="173"/>
      <c r="AA32" s="15" t="s">
        <v>146</v>
      </c>
      <c r="AB32" s="21">
        <v>4</v>
      </c>
      <c r="AC32" s="21">
        <v>6</v>
      </c>
      <c r="AD32" s="15" t="s">
        <v>108</v>
      </c>
    </row>
    <row r="33" spans="3:31" x14ac:dyDescent="0.4">
      <c r="C33" s="56" t="str">
        <f t="shared" si="0"/>
        <v/>
      </c>
      <c r="D33" s="153"/>
      <c r="E33" s="114" t="str">
        <f t="shared" si="5"/>
        <v/>
      </c>
      <c r="F33" s="30" t="s">
        <v>116</v>
      </c>
      <c r="G33" s="56" t="s">
        <v>161</v>
      </c>
      <c r="H33" s="30" t="str">
        <f t="shared" si="3"/>
        <v>10m outside boundary</v>
      </c>
      <c r="I33" s="30"/>
      <c r="J33" s="30"/>
      <c r="K33" s="173"/>
      <c r="AA33" s="15" t="s">
        <v>146</v>
      </c>
      <c r="AB33" s="21">
        <v>2</v>
      </c>
      <c r="AC33" s="21">
        <v>4</v>
      </c>
      <c r="AD33" s="15" t="s">
        <v>100</v>
      </c>
    </row>
    <row r="34" spans="3:31" x14ac:dyDescent="0.4">
      <c r="C34" s="56" t="str">
        <f t="shared" si="0"/>
        <v/>
      </c>
      <c r="D34" s="153"/>
      <c r="E34" s="114" t="str">
        <f t="shared" si="5"/>
        <v/>
      </c>
      <c r="F34" s="211" t="s">
        <v>116</v>
      </c>
      <c r="G34" s="120" t="s">
        <v>161</v>
      </c>
      <c r="H34" s="211" t="str">
        <f t="shared" si="3"/>
        <v>20m outside boundary</v>
      </c>
      <c r="I34" s="211"/>
      <c r="J34" s="211"/>
      <c r="K34" s="174"/>
      <c r="AA34" s="15" t="s">
        <v>146</v>
      </c>
      <c r="AB34" s="21">
        <v>0</v>
      </c>
      <c r="AC34" s="21">
        <v>2</v>
      </c>
      <c r="AD34" s="15" t="s">
        <v>101</v>
      </c>
      <c r="AE34" s="15" t="s">
        <v>111</v>
      </c>
    </row>
    <row r="35" spans="3:31" x14ac:dyDescent="0.4">
      <c r="C35" s="56" t="str">
        <f t="shared" si="0"/>
        <v/>
      </c>
      <c r="D35" s="153"/>
      <c r="E35" s="114" t="str">
        <f t="shared" si="5"/>
        <v/>
      </c>
      <c r="F35" s="210" t="s">
        <v>117</v>
      </c>
      <c r="G35" s="117" t="s">
        <v>160</v>
      </c>
      <c r="H35" s="210" t="str">
        <f t="shared" si="3"/>
        <v>20m inside boundary</v>
      </c>
      <c r="I35" s="210"/>
      <c r="J35" s="210"/>
      <c r="K35" s="172"/>
      <c r="AA35" s="15" t="s">
        <v>147</v>
      </c>
      <c r="AB35" s="21">
        <v>16.00001</v>
      </c>
      <c r="AC35" s="21">
        <v>10000000</v>
      </c>
      <c r="AD35" s="15" t="s">
        <v>98</v>
      </c>
      <c r="AE35" s="15" t="s">
        <v>141</v>
      </c>
    </row>
    <row r="36" spans="3:31" x14ac:dyDescent="0.4">
      <c r="C36" s="56" t="str">
        <f t="shared" si="0"/>
        <v/>
      </c>
      <c r="D36" s="153"/>
      <c r="E36" s="114" t="str">
        <f t="shared" si="5"/>
        <v/>
      </c>
      <c r="F36" s="30" t="s">
        <v>117</v>
      </c>
      <c r="G36" s="56" t="s">
        <v>160</v>
      </c>
      <c r="H36" s="30" t="str">
        <f t="shared" si="3"/>
        <v>10m inside boundary</v>
      </c>
      <c r="I36" s="30"/>
      <c r="J36" s="30"/>
      <c r="K36" s="173"/>
      <c r="AA36" s="15" t="s">
        <v>147</v>
      </c>
      <c r="AB36" s="21">
        <v>11.7</v>
      </c>
      <c r="AC36" s="21">
        <v>16.00001</v>
      </c>
      <c r="AD36" s="15" t="s">
        <v>105</v>
      </c>
    </row>
    <row r="37" spans="3:31" x14ac:dyDescent="0.4">
      <c r="C37" s="56" t="str">
        <f t="shared" si="0"/>
        <v/>
      </c>
      <c r="D37" s="153"/>
      <c r="E37" s="114" t="str">
        <f t="shared" si="5"/>
        <v/>
      </c>
      <c r="F37" s="30" t="s">
        <v>117</v>
      </c>
      <c r="G37" s="56" t="s">
        <v>164</v>
      </c>
      <c r="H37" s="30" t="str">
        <f t="shared" si="3"/>
        <v>0m on boundary</v>
      </c>
      <c r="I37" s="30"/>
      <c r="J37" s="30"/>
      <c r="K37" s="173"/>
      <c r="AA37" s="15" t="s">
        <v>147</v>
      </c>
      <c r="AB37" s="21">
        <v>7.5</v>
      </c>
      <c r="AC37" s="21">
        <v>11.7</v>
      </c>
      <c r="AD37" s="15" t="s">
        <v>108</v>
      </c>
    </row>
    <row r="38" spans="3:31" x14ac:dyDescent="0.4">
      <c r="C38" s="56" t="str">
        <f t="shared" si="0"/>
        <v/>
      </c>
      <c r="D38" s="153"/>
      <c r="E38" s="114" t="str">
        <f t="shared" si="5"/>
        <v/>
      </c>
      <c r="F38" s="30" t="s">
        <v>117</v>
      </c>
      <c r="G38" s="56" t="s">
        <v>161</v>
      </c>
      <c r="H38" s="30" t="str">
        <f t="shared" si="3"/>
        <v>10m outside boundary</v>
      </c>
      <c r="I38" s="30"/>
      <c r="J38" s="30"/>
      <c r="K38" s="173"/>
      <c r="AA38" s="15" t="s">
        <v>147</v>
      </c>
      <c r="AB38" s="21">
        <v>5.4</v>
      </c>
      <c r="AC38" s="21">
        <v>7.5</v>
      </c>
      <c r="AD38" s="15" t="s">
        <v>100</v>
      </c>
    </row>
    <row r="39" spans="3:31" x14ac:dyDescent="0.4">
      <c r="C39" s="56" t="str">
        <f t="shared" si="0"/>
        <v/>
      </c>
      <c r="D39" s="153"/>
      <c r="E39" s="114" t="str">
        <f t="shared" si="5"/>
        <v/>
      </c>
      <c r="F39" s="211" t="s">
        <v>117</v>
      </c>
      <c r="G39" s="120" t="s">
        <v>161</v>
      </c>
      <c r="H39" s="211" t="str">
        <f t="shared" si="3"/>
        <v>20m outside boundary</v>
      </c>
      <c r="I39" s="211"/>
      <c r="J39" s="211"/>
      <c r="K39" s="174"/>
      <c r="AA39" s="15" t="s">
        <v>147</v>
      </c>
      <c r="AB39" s="21">
        <v>0</v>
      </c>
      <c r="AC39" s="21">
        <v>5.4</v>
      </c>
      <c r="AD39" s="15" t="s">
        <v>101</v>
      </c>
      <c r="AE39" s="15" t="s">
        <v>111</v>
      </c>
    </row>
    <row r="40" spans="3:31" x14ac:dyDescent="0.4">
      <c r="C40" s="56" t="str">
        <f t="shared" si="0"/>
        <v/>
      </c>
      <c r="D40" s="153"/>
      <c r="E40" s="114" t="str">
        <f t="shared" si="5"/>
        <v/>
      </c>
      <c r="F40" s="210" t="s">
        <v>122</v>
      </c>
      <c r="G40" s="117" t="s">
        <v>160</v>
      </c>
      <c r="H40" s="210" t="str">
        <f t="shared" si="3"/>
        <v>20m inside boundary</v>
      </c>
      <c r="I40" s="210"/>
      <c r="J40" s="210"/>
      <c r="K40" s="172"/>
      <c r="AA40" s="15" t="s">
        <v>148</v>
      </c>
      <c r="AB40" s="21">
        <v>16.00001</v>
      </c>
      <c r="AC40" s="21">
        <v>10000000</v>
      </c>
      <c r="AD40" s="15" t="s">
        <v>98</v>
      </c>
      <c r="AE40" s="15" t="s">
        <v>141</v>
      </c>
    </row>
    <row r="41" spans="3:31" x14ac:dyDescent="0.4">
      <c r="C41" s="56" t="str">
        <f t="shared" si="0"/>
        <v/>
      </c>
      <c r="D41" s="153"/>
      <c r="E41" s="114" t="str">
        <f t="shared" si="5"/>
        <v/>
      </c>
      <c r="F41" s="30" t="s">
        <v>122</v>
      </c>
      <c r="G41" s="56" t="s">
        <v>160</v>
      </c>
      <c r="H41" s="30" t="str">
        <f t="shared" si="3"/>
        <v>10m inside boundary</v>
      </c>
      <c r="I41" s="30"/>
      <c r="J41" s="30"/>
      <c r="K41" s="173"/>
      <c r="AA41" s="15" t="s">
        <v>148</v>
      </c>
      <c r="AB41" s="21">
        <v>12</v>
      </c>
      <c r="AC41" s="21">
        <v>16.00001</v>
      </c>
      <c r="AD41" s="15" t="s">
        <v>105</v>
      </c>
    </row>
    <row r="42" spans="3:31" x14ac:dyDescent="0.4">
      <c r="C42" s="56" t="str">
        <f t="shared" si="0"/>
        <v/>
      </c>
      <c r="D42" s="153"/>
      <c r="E42" s="114" t="str">
        <f t="shared" si="5"/>
        <v/>
      </c>
      <c r="F42" s="30" t="s">
        <v>122</v>
      </c>
      <c r="G42" s="56" t="s">
        <v>164</v>
      </c>
      <c r="H42" s="30" t="str">
        <f t="shared" si="3"/>
        <v>0m on boundary</v>
      </c>
      <c r="I42" s="30"/>
      <c r="J42" s="30"/>
      <c r="K42" s="173"/>
      <c r="AA42" s="15" t="s">
        <v>148</v>
      </c>
      <c r="AB42" s="21">
        <v>8</v>
      </c>
      <c r="AC42" s="21">
        <v>12</v>
      </c>
      <c r="AD42" s="15" t="s">
        <v>108</v>
      </c>
    </row>
    <row r="43" spans="3:31" x14ac:dyDescent="0.4">
      <c r="C43" s="56" t="str">
        <f t="shared" si="0"/>
        <v/>
      </c>
      <c r="D43" s="153"/>
      <c r="E43" s="114" t="str">
        <f t="shared" si="5"/>
        <v/>
      </c>
      <c r="F43" s="30" t="s">
        <v>122</v>
      </c>
      <c r="G43" s="56" t="s">
        <v>161</v>
      </c>
      <c r="H43" s="30" t="str">
        <f t="shared" si="3"/>
        <v>10m outside boundary</v>
      </c>
      <c r="I43" s="30"/>
      <c r="J43" s="30"/>
      <c r="K43" s="173"/>
      <c r="AA43" s="15" t="s">
        <v>148</v>
      </c>
      <c r="AB43" s="21">
        <v>4</v>
      </c>
      <c r="AC43" s="21">
        <v>8</v>
      </c>
      <c r="AD43" s="15" t="s">
        <v>100</v>
      </c>
    </row>
    <row r="44" spans="3:31" x14ac:dyDescent="0.4">
      <c r="C44" s="56" t="str">
        <f t="shared" si="0"/>
        <v/>
      </c>
      <c r="D44" s="153"/>
      <c r="E44" s="115" t="str">
        <f t="shared" si="5"/>
        <v/>
      </c>
      <c r="F44" s="211" t="s">
        <v>122</v>
      </c>
      <c r="G44" s="120" t="s">
        <v>161</v>
      </c>
      <c r="H44" s="211" t="str">
        <f t="shared" si="3"/>
        <v>20m outside boundary</v>
      </c>
      <c r="I44" s="211"/>
      <c r="J44" s="211"/>
      <c r="K44" s="174"/>
      <c r="AA44" s="15" t="s">
        <v>148</v>
      </c>
      <c r="AB44" s="21">
        <v>0</v>
      </c>
      <c r="AC44" s="21">
        <v>4</v>
      </c>
      <c r="AD44" s="15" t="s">
        <v>101</v>
      </c>
      <c r="AE44" s="15" t="s">
        <v>111</v>
      </c>
    </row>
    <row r="45" spans="3:31" x14ac:dyDescent="0.4">
      <c r="C45" s="56" t="str">
        <f t="shared" si="0"/>
        <v/>
      </c>
      <c r="D45" s="153"/>
      <c r="E45" s="192" t="s">
        <v>93</v>
      </c>
      <c r="F45" s="210" t="s">
        <v>94</v>
      </c>
      <c r="G45" s="117" t="s">
        <v>160</v>
      </c>
      <c r="H45" s="210" t="str">
        <f>H5</f>
        <v>20m inside boundary</v>
      </c>
      <c r="I45" s="210"/>
      <c r="J45" s="210"/>
      <c r="K45" s="172"/>
      <c r="AA45" s="15" t="s">
        <v>149</v>
      </c>
      <c r="AB45" s="21">
        <v>20.80001</v>
      </c>
      <c r="AC45" s="21">
        <v>10000000</v>
      </c>
      <c r="AD45" s="15" t="s">
        <v>98</v>
      </c>
      <c r="AE45" s="15" t="s">
        <v>141</v>
      </c>
    </row>
    <row r="46" spans="3:31" x14ac:dyDescent="0.4">
      <c r="C46" s="56" t="str">
        <f t="shared" si="0"/>
        <v/>
      </c>
      <c r="D46" s="153"/>
      <c r="E46" s="114" t="str">
        <f>IF(E45 = "Select", "", E45)</f>
        <v/>
      </c>
      <c r="F46" s="30" t="s">
        <v>94</v>
      </c>
      <c r="G46" s="56" t="s">
        <v>160</v>
      </c>
      <c r="H46" s="30" t="str">
        <f t="shared" ref="H46:H64" si="6">H6</f>
        <v>10m inside boundary</v>
      </c>
      <c r="I46" s="30"/>
      <c r="J46" s="30"/>
      <c r="K46" s="173"/>
      <c r="AA46" s="15" t="s">
        <v>149</v>
      </c>
      <c r="AB46" s="21">
        <v>9.1999999999999993</v>
      </c>
      <c r="AC46" s="21">
        <v>20.800001000000002</v>
      </c>
      <c r="AD46" s="15" t="s">
        <v>105</v>
      </c>
    </row>
    <row r="47" spans="3:31" x14ac:dyDescent="0.4">
      <c r="C47" s="56" t="str">
        <f t="shared" si="0"/>
        <v/>
      </c>
      <c r="D47" s="153"/>
      <c r="E47" s="114" t="str">
        <f t="shared" ref="E47:E49" si="7">IF(E46 = "Select", "", E46)</f>
        <v/>
      </c>
      <c r="F47" s="30" t="s">
        <v>94</v>
      </c>
      <c r="G47" s="56" t="s">
        <v>164</v>
      </c>
      <c r="H47" s="30" t="str">
        <f t="shared" si="6"/>
        <v>0m on boundary</v>
      </c>
      <c r="I47" s="30"/>
      <c r="J47" s="30"/>
      <c r="K47" s="173"/>
      <c r="AA47" s="15" t="s">
        <v>149</v>
      </c>
      <c r="AB47" s="21">
        <v>5.7</v>
      </c>
      <c r="AC47" s="21">
        <v>9.1999999999999993</v>
      </c>
      <c r="AD47" s="15" t="s">
        <v>108</v>
      </c>
    </row>
    <row r="48" spans="3:31" x14ac:dyDescent="0.4">
      <c r="C48" s="56" t="str">
        <f t="shared" si="0"/>
        <v/>
      </c>
      <c r="D48" s="153"/>
      <c r="E48" s="114" t="str">
        <f t="shared" si="7"/>
        <v/>
      </c>
      <c r="F48" s="30" t="s">
        <v>94</v>
      </c>
      <c r="G48" s="56" t="s">
        <v>161</v>
      </c>
      <c r="H48" s="30" t="str">
        <f t="shared" si="6"/>
        <v>10m outside boundary</v>
      </c>
      <c r="I48" s="30"/>
      <c r="J48" s="30"/>
      <c r="K48" s="173"/>
      <c r="AA48" s="15" t="s">
        <v>149</v>
      </c>
      <c r="AB48" s="21">
        <v>1.9</v>
      </c>
      <c r="AC48" s="21">
        <v>5.7</v>
      </c>
      <c r="AD48" s="15" t="s">
        <v>100</v>
      </c>
    </row>
    <row r="49" spans="3:31" x14ac:dyDescent="0.4">
      <c r="C49" s="56" t="str">
        <f t="shared" si="0"/>
        <v/>
      </c>
      <c r="D49" s="153"/>
      <c r="E49" s="114" t="str">
        <f t="shared" si="7"/>
        <v/>
      </c>
      <c r="F49" s="211" t="s">
        <v>94</v>
      </c>
      <c r="G49" s="120" t="s">
        <v>161</v>
      </c>
      <c r="H49" s="211" t="str">
        <f t="shared" si="6"/>
        <v>20m outside boundary</v>
      </c>
      <c r="I49" s="211"/>
      <c r="J49" s="211"/>
      <c r="K49" s="174"/>
      <c r="AA49" s="15" t="s">
        <v>149</v>
      </c>
      <c r="AB49" s="21">
        <v>0</v>
      </c>
      <c r="AC49" s="21">
        <v>1.9</v>
      </c>
      <c r="AD49" s="15" t="s">
        <v>101</v>
      </c>
      <c r="AE49" s="15" t="s">
        <v>111</v>
      </c>
    </row>
    <row r="50" spans="3:31" x14ac:dyDescent="0.4">
      <c r="C50" s="56" t="str">
        <f t="shared" si="0"/>
        <v/>
      </c>
      <c r="D50" s="153"/>
      <c r="E50" s="114" t="str">
        <f t="shared" ref="E50:E64" si="8">IF(E49 = "Select", "", E49)</f>
        <v/>
      </c>
      <c r="F50" s="210" t="s">
        <v>116</v>
      </c>
      <c r="G50" s="117" t="s">
        <v>160</v>
      </c>
      <c r="H50" s="210" t="str">
        <f t="shared" si="6"/>
        <v>20m inside boundary</v>
      </c>
      <c r="I50" s="210"/>
      <c r="J50" s="210"/>
      <c r="K50" s="172"/>
      <c r="AA50" s="15" t="s">
        <v>150</v>
      </c>
      <c r="AB50" s="21">
        <v>0.67000009999999999</v>
      </c>
      <c r="AC50" s="21">
        <v>10000000</v>
      </c>
      <c r="AD50" s="15" t="s">
        <v>98</v>
      </c>
      <c r="AE50" s="15" t="s">
        <v>141</v>
      </c>
    </row>
    <row r="51" spans="3:31" x14ac:dyDescent="0.4">
      <c r="C51" s="56" t="str">
        <f t="shared" si="0"/>
        <v/>
      </c>
      <c r="D51" s="153"/>
      <c r="E51" s="114" t="str">
        <f t="shared" si="8"/>
        <v/>
      </c>
      <c r="F51" s="30" t="s">
        <v>116</v>
      </c>
      <c r="G51" s="56" t="s">
        <v>160</v>
      </c>
      <c r="H51" s="30" t="str">
        <f t="shared" si="6"/>
        <v>10m inside boundary</v>
      </c>
      <c r="I51" s="30"/>
      <c r="J51" s="30"/>
      <c r="K51" s="173"/>
      <c r="AA51" s="15" t="s">
        <v>150</v>
      </c>
      <c r="AB51" s="21">
        <v>0.5</v>
      </c>
      <c r="AC51" s="21">
        <v>0.67000009999999999</v>
      </c>
      <c r="AD51" s="15" t="s">
        <v>105</v>
      </c>
    </row>
    <row r="52" spans="3:31" x14ac:dyDescent="0.4">
      <c r="C52" s="56" t="str">
        <f t="shared" si="0"/>
        <v/>
      </c>
      <c r="D52" s="153"/>
      <c r="E52" s="114" t="str">
        <f t="shared" si="8"/>
        <v/>
      </c>
      <c r="F52" s="30" t="s">
        <v>116</v>
      </c>
      <c r="G52" s="56" t="s">
        <v>164</v>
      </c>
      <c r="H52" s="30" t="str">
        <f t="shared" si="6"/>
        <v>0m on boundary</v>
      </c>
      <c r="I52" s="30"/>
      <c r="J52" s="30"/>
      <c r="K52" s="173"/>
      <c r="AA52" s="15" t="s">
        <v>150</v>
      </c>
      <c r="AB52" s="21">
        <v>0.42</v>
      </c>
      <c r="AC52" s="21">
        <v>0.5</v>
      </c>
      <c r="AD52" s="15" t="s">
        <v>108</v>
      </c>
    </row>
    <row r="53" spans="3:31" x14ac:dyDescent="0.4">
      <c r="C53" s="56" t="str">
        <f t="shared" si="0"/>
        <v/>
      </c>
      <c r="D53" s="153"/>
      <c r="E53" s="114" t="str">
        <f t="shared" si="8"/>
        <v/>
      </c>
      <c r="F53" s="30" t="s">
        <v>116</v>
      </c>
      <c r="G53" s="56" t="s">
        <v>161</v>
      </c>
      <c r="H53" s="30" t="str">
        <f t="shared" si="6"/>
        <v>10m outside boundary</v>
      </c>
      <c r="I53" s="30"/>
      <c r="J53" s="30"/>
      <c r="K53" s="173"/>
      <c r="AA53" s="15" t="s">
        <v>150</v>
      </c>
      <c r="AB53" s="21">
        <v>0.33</v>
      </c>
      <c r="AC53" s="21">
        <v>0.42</v>
      </c>
      <c r="AD53" s="15" t="s">
        <v>100</v>
      </c>
    </row>
    <row r="54" spans="3:31" x14ac:dyDescent="0.4">
      <c r="C54" s="56" t="str">
        <f t="shared" si="0"/>
        <v/>
      </c>
      <c r="D54" s="153"/>
      <c r="E54" s="114" t="str">
        <f t="shared" si="8"/>
        <v/>
      </c>
      <c r="F54" s="211" t="s">
        <v>116</v>
      </c>
      <c r="G54" s="120" t="s">
        <v>161</v>
      </c>
      <c r="H54" s="211" t="str">
        <f t="shared" si="6"/>
        <v>20m outside boundary</v>
      </c>
      <c r="I54" s="211"/>
      <c r="J54" s="211"/>
      <c r="K54" s="174"/>
      <c r="AA54" s="15" t="s">
        <v>150</v>
      </c>
      <c r="AB54" s="21">
        <v>0</v>
      </c>
      <c r="AC54" s="21">
        <v>0.33</v>
      </c>
      <c r="AD54" s="15" t="s">
        <v>101</v>
      </c>
      <c r="AE54" s="15" t="s">
        <v>111</v>
      </c>
    </row>
    <row r="55" spans="3:31" x14ac:dyDescent="0.4">
      <c r="C55" s="56" t="str">
        <f t="shared" si="0"/>
        <v/>
      </c>
      <c r="D55" s="153"/>
      <c r="E55" s="114" t="str">
        <f t="shared" si="8"/>
        <v/>
      </c>
      <c r="F55" s="210" t="s">
        <v>117</v>
      </c>
      <c r="G55" s="117" t="s">
        <v>160</v>
      </c>
      <c r="H55" s="210" t="str">
        <f t="shared" si="6"/>
        <v>20m inside boundary</v>
      </c>
      <c r="I55" s="210"/>
      <c r="J55" s="210"/>
      <c r="K55" s="172"/>
      <c r="AA55" s="15" t="s">
        <v>151</v>
      </c>
      <c r="AB55" s="21">
        <v>0.86000010000000005</v>
      </c>
      <c r="AC55" s="21">
        <v>10000000</v>
      </c>
      <c r="AD55" s="15" t="s">
        <v>98</v>
      </c>
      <c r="AE55" s="15" t="s">
        <v>141</v>
      </c>
    </row>
    <row r="56" spans="3:31" x14ac:dyDescent="0.4">
      <c r="C56" s="56" t="str">
        <f t="shared" si="0"/>
        <v/>
      </c>
      <c r="D56" s="153"/>
      <c r="E56" s="114" t="str">
        <f t="shared" si="8"/>
        <v/>
      </c>
      <c r="F56" s="30" t="s">
        <v>117</v>
      </c>
      <c r="G56" s="56" t="s">
        <v>160</v>
      </c>
      <c r="H56" s="30" t="str">
        <f t="shared" si="6"/>
        <v>10m inside boundary</v>
      </c>
      <c r="I56" s="30"/>
      <c r="J56" s="30"/>
      <c r="K56" s="173"/>
      <c r="AA56" s="15" t="s">
        <v>151</v>
      </c>
      <c r="AB56" s="21">
        <v>0.68</v>
      </c>
      <c r="AC56" s="21">
        <v>0.86000010000000005</v>
      </c>
      <c r="AD56" s="15" t="s">
        <v>105</v>
      </c>
    </row>
    <row r="57" spans="3:31" x14ac:dyDescent="0.4">
      <c r="C57" s="56" t="str">
        <f t="shared" si="0"/>
        <v/>
      </c>
      <c r="D57" s="153"/>
      <c r="E57" s="114" t="str">
        <f t="shared" si="8"/>
        <v/>
      </c>
      <c r="F57" s="30" t="s">
        <v>117</v>
      </c>
      <c r="G57" s="56" t="s">
        <v>164</v>
      </c>
      <c r="H57" s="30" t="str">
        <f t="shared" si="6"/>
        <v>0m on boundary</v>
      </c>
      <c r="I57" s="30"/>
      <c r="J57" s="30"/>
      <c r="K57" s="173"/>
      <c r="AA57" s="15" t="s">
        <v>151</v>
      </c>
      <c r="AB57" s="21">
        <v>0.43</v>
      </c>
      <c r="AC57" s="21">
        <v>0.68</v>
      </c>
      <c r="AD57" s="15" t="s">
        <v>108</v>
      </c>
    </row>
    <row r="58" spans="3:31" x14ac:dyDescent="0.4">
      <c r="C58" s="56" t="str">
        <f t="shared" si="0"/>
        <v/>
      </c>
      <c r="D58" s="153"/>
      <c r="E58" s="114" t="str">
        <f t="shared" si="8"/>
        <v/>
      </c>
      <c r="F58" s="30" t="s">
        <v>117</v>
      </c>
      <c r="G58" s="56" t="s">
        <v>161</v>
      </c>
      <c r="H58" s="30" t="str">
        <f t="shared" si="6"/>
        <v>10m outside boundary</v>
      </c>
      <c r="I58" s="30"/>
      <c r="J58" s="30"/>
      <c r="K58" s="173"/>
      <c r="AA58" s="15" t="s">
        <v>151</v>
      </c>
      <c r="AB58" s="21">
        <v>0.2</v>
      </c>
      <c r="AC58" s="21">
        <v>0.43</v>
      </c>
      <c r="AD58" s="15" t="s">
        <v>100</v>
      </c>
    </row>
    <row r="59" spans="3:31" x14ac:dyDescent="0.4">
      <c r="C59" s="56" t="str">
        <f t="shared" si="0"/>
        <v/>
      </c>
      <c r="D59" s="153"/>
      <c r="E59" s="114" t="str">
        <f t="shared" si="8"/>
        <v/>
      </c>
      <c r="F59" s="211" t="s">
        <v>117</v>
      </c>
      <c r="G59" s="120" t="s">
        <v>161</v>
      </c>
      <c r="H59" s="211" t="str">
        <f t="shared" si="6"/>
        <v>20m outside boundary</v>
      </c>
      <c r="I59" s="211"/>
      <c r="J59" s="211"/>
      <c r="K59" s="174"/>
      <c r="AA59" s="15" t="s">
        <v>151</v>
      </c>
      <c r="AB59" s="21">
        <v>0</v>
      </c>
      <c r="AC59" s="21">
        <v>0.2</v>
      </c>
      <c r="AD59" s="15" t="s">
        <v>101</v>
      </c>
      <c r="AE59" s="15" t="s">
        <v>111</v>
      </c>
    </row>
    <row r="60" spans="3:31" x14ac:dyDescent="0.4">
      <c r="C60" s="56" t="str">
        <f t="shared" si="0"/>
        <v/>
      </c>
      <c r="D60" s="153"/>
      <c r="E60" s="114" t="str">
        <f t="shared" si="8"/>
        <v/>
      </c>
      <c r="F60" s="210" t="s">
        <v>122</v>
      </c>
      <c r="G60" s="117" t="s">
        <v>160</v>
      </c>
      <c r="H60" s="210" t="str">
        <f t="shared" si="6"/>
        <v>20m inside boundary</v>
      </c>
      <c r="I60" s="210"/>
      <c r="J60" s="210"/>
      <c r="K60" s="172"/>
      <c r="AA60" s="15" t="s">
        <v>153</v>
      </c>
      <c r="AB60" s="21">
        <v>27.400001</v>
      </c>
      <c r="AC60" s="21">
        <v>10000000</v>
      </c>
      <c r="AD60" s="15" t="s">
        <v>98</v>
      </c>
      <c r="AE60" s="15" t="s">
        <v>141</v>
      </c>
    </row>
    <row r="61" spans="3:31" x14ac:dyDescent="0.4">
      <c r="C61" s="56" t="str">
        <f t="shared" si="0"/>
        <v/>
      </c>
      <c r="D61" s="153"/>
      <c r="E61" s="114" t="str">
        <f t="shared" si="8"/>
        <v/>
      </c>
      <c r="F61" s="30" t="s">
        <v>122</v>
      </c>
      <c r="G61" s="56" t="s">
        <v>160</v>
      </c>
      <c r="H61" s="30" t="str">
        <f t="shared" si="6"/>
        <v>10m inside boundary</v>
      </c>
      <c r="I61" s="30"/>
      <c r="J61" s="30"/>
      <c r="K61" s="173"/>
      <c r="AA61" s="15" t="s">
        <v>153</v>
      </c>
      <c r="AB61" s="21">
        <v>23.1</v>
      </c>
      <c r="AC61" s="21">
        <v>27.400001</v>
      </c>
      <c r="AD61" s="15" t="s">
        <v>105</v>
      </c>
    </row>
    <row r="62" spans="3:31" x14ac:dyDescent="0.4">
      <c r="C62" s="56" t="str">
        <f t="shared" si="0"/>
        <v/>
      </c>
      <c r="D62" s="153"/>
      <c r="E62" s="114" t="str">
        <f t="shared" si="8"/>
        <v/>
      </c>
      <c r="F62" s="30" t="s">
        <v>122</v>
      </c>
      <c r="G62" s="56" t="s">
        <v>164</v>
      </c>
      <c r="H62" s="30" t="str">
        <f t="shared" si="6"/>
        <v>0m on boundary</v>
      </c>
      <c r="I62" s="30"/>
      <c r="J62" s="30"/>
      <c r="K62" s="173"/>
      <c r="AA62" s="15" t="s">
        <v>153</v>
      </c>
      <c r="AB62" s="21">
        <v>18.8</v>
      </c>
      <c r="AC62" s="21">
        <v>23.1</v>
      </c>
      <c r="AD62" s="15" t="s">
        <v>108</v>
      </c>
    </row>
    <row r="63" spans="3:31" x14ac:dyDescent="0.4">
      <c r="C63" s="56" t="str">
        <f t="shared" ref="C63:C64" si="9">C$5</f>
        <v/>
      </c>
      <c r="D63" s="153"/>
      <c r="E63" s="114" t="str">
        <f t="shared" si="8"/>
        <v/>
      </c>
      <c r="F63" s="30" t="s">
        <v>122</v>
      </c>
      <c r="G63" s="56" t="s">
        <v>161</v>
      </c>
      <c r="H63" s="30" t="str">
        <f t="shared" si="6"/>
        <v>10m outside boundary</v>
      </c>
      <c r="I63" s="30"/>
      <c r="J63" s="30"/>
      <c r="K63" s="173"/>
      <c r="AA63" s="15" t="s">
        <v>153</v>
      </c>
      <c r="AB63" s="21">
        <v>10.4</v>
      </c>
      <c r="AC63" s="21">
        <v>18.8</v>
      </c>
      <c r="AD63" s="15" t="s">
        <v>100</v>
      </c>
    </row>
    <row r="64" spans="3:31" x14ac:dyDescent="0.4">
      <c r="C64" s="56" t="str">
        <f t="shared" si="9"/>
        <v/>
      </c>
      <c r="D64" s="153"/>
      <c r="E64" s="115" t="str">
        <f t="shared" si="8"/>
        <v/>
      </c>
      <c r="F64" s="211" t="s">
        <v>122</v>
      </c>
      <c r="G64" s="120" t="s">
        <v>161</v>
      </c>
      <c r="H64" s="211" t="str">
        <f t="shared" si="6"/>
        <v>20m outside boundary</v>
      </c>
      <c r="I64" s="211"/>
      <c r="J64" s="211"/>
      <c r="K64" s="174"/>
      <c r="AA64" s="15" t="s">
        <v>153</v>
      </c>
      <c r="AB64" s="21">
        <v>0</v>
      </c>
      <c r="AC64" s="21">
        <v>10.4</v>
      </c>
      <c r="AD64" s="15" t="s">
        <v>101</v>
      </c>
      <c r="AE64" s="15" t="s">
        <v>111</v>
      </c>
    </row>
    <row r="65" spans="3:31" x14ac:dyDescent="0.4">
      <c r="AA65" s="15" t="s">
        <v>154</v>
      </c>
      <c r="AB65" s="21">
        <v>9.6000010000000007</v>
      </c>
      <c r="AC65" s="21">
        <v>10000000</v>
      </c>
      <c r="AD65" s="15" t="s">
        <v>98</v>
      </c>
      <c r="AE65" s="15" t="s">
        <v>141</v>
      </c>
    </row>
    <row r="66" spans="3:31" x14ac:dyDescent="0.4">
      <c r="D66" s="18" t="s">
        <v>1927</v>
      </c>
      <c r="AA66" s="15" t="s">
        <v>154</v>
      </c>
      <c r="AB66" s="21">
        <v>7.5</v>
      </c>
      <c r="AC66" s="21">
        <v>9.6000010000000007</v>
      </c>
      <c r="AD66" s="15" t="s">
        <v>105</v>
      </c>
    </row>
    <row r="67" spans="3:31" hidden="1" x14ac:dyDescent="0.4">
      <c r="C67" s="62">
        <v>6.11</v>
      </c>
      <c r="D67" s="62">
        <v>6.12</v>
      </c>
      <c r="E67" s="62">
        <v>6.13</v>
      </c>
      <c r="F67" s="62">
        <v>6.14</v>
      </c>
      <c r="G67" s="62">
        <v>6.15</v>
      </c>
      <c r="H67" s="62">
        <v>6.16</v>
      </c>
      <c r="AA67" s="15" t="s">
        <v>154</v>
      </c>
      <c r="AB67" s="21">
        <v>6.2</v>
      </c>
      <c r="AC67" s="21">
        <v>7.5</v>
      </c>
      <c r="AD67" s="15" t="s">
        <v>108</v>
      </c>
    </row>
    <row r="68" spans="3:31" ht="33.6" x14ac:dyDescent="0.4">
      <c r="C68" s="59" t="s">
        <v>44</v>
      </c>
      <c r="D68" s="59" t="s">
        <v>115</v>
      </c>
      <c r="E68" s="59" t="s">
        <v>80</v>
      </c>
      <c r="F68" s="59" t="s">
        <v>124</v>
      </c>
      <c r="G68" s="59" t="s">
        <v>125</v>
      </c>
      <c r="H68" s="59" t="s">
        <v>126</v>
      </c>
      <c r="AA68" s="15" t="s">
        <v>154</v>
      </c>
      <c r="AB68" s="21">
        <v>4.5</v>
      </c>
      <c r="AC68" s="21">
        <v>6.2</v>
      </c>
      <c r="AD68" s="15" t="s">
        <v>100</v>
      </c>
    </row>
    <row r="69" spans="3:31" x14ac:dyDescent="0.4">
      <c r="C69" s="67" t="str">
        <f>C5</f>
        <v/>
      </c>
      <c r="D69" s="67" t="str">
        <f>E6</f>
        <v/>
      </c>
      <c r="E69" s="67" t="str">
        <f>G5</f>
        <v>Inside site boundary</v>
      </c>
      <c r="F69" s="76" t="str">
        <f>IFERROR(AVERAGE(I5:J6,I10:J11,I15:J16,I20:J21),"")</f>
        <v/>
      </c>
      <c r="G69" s="56" t="str" cm="1">
        <f t="array" ref="G69">IFERROR(INDEX(Table995[EQS category ref], MATCH(1, (Table5691[[#This Row],[Abiotic indicator]]=Table995[Biotic index ref])*(F69&gt;=Table995[Equal or larger than])*(F69&lt;Table995[smaller than]),0)),"")</f>
        <v/>
      </c>
      <c r="H69" s="110" t="str" cm="1">
        <f t="array" ref="H69">IFERROR(_xlfn.IFS(Table5691[[#This Row],[EQS category]]="Bad",5, Table5691[[#This Row],[EQS category]]="Poor",4, Table5691[[#This Row],[EQS category]]="Moderate",3, Table5691[[#This Row],[EQS category]]="Good",2, Table5691[[#This Row],[EQS category]]="High",1),"")</f>
        <v/>
      </c>
      <c r="AA69" s="15" t="s">
        <v>154</v>
      </c>
      <c r="AB69" s="21">
        <v>0</v>
      </c>
      <c r="AC69" s="21">
        <v>4.5</v>
      </c>
      <c r="AD69" s="15" t="s">
        <v>101</v>
      </c>
      <c r="AE69" s="15" t="s">
        <v>111</v>
      </c>
    </row>
    <row r="70" spans="3:31" x14ac:dyDescent="0.4">
      <c r="C70" s="67" t="str">
        <f>C25</f>
        <v/>
      </c>
      <c r="D70" s="67" t="str">
        <f>E26</f>
        <v/>
      </c>
      <c r="E70" s="67" t="str">
        <f>G25</f>
        <v>Inside site boundary</v>
      </c>
      <c r="F70" s="76" t="str">
        <f>IFERROR(AVERAGE(I25:J26,I30:J31,I35:J36,I40:J41),"")</f>
        <v/>
      </c>
      <c r="G70" s="56" t="str" cm="1">
        <f t="array" ref="G70">IFERROR(INDEX(Table995[EQS category ref], MATCH(1, (Table5691[[#This Row],[Abiotic indicator]]=Table995[Biotic index ref])*(F70&gt;=Table995[Equal or larger than])*(F70&lt;Table995[smaller than]),0)),"")</f>
        <v/>
      </c>
      <c r="H70" s="110" t="str" cm="1">
        <f t="array" ref="H70">IFERROR(_xlfn.IFS(Table5691[[#This Row],[EQS category]]="Bad",5, Table5691[[#This Row],[EQS category]]="Poor",4, Table5691[[#This Row],[EQS category]]="Moderate",3, Table5691[[#This Row],[EQS category]]="Good",2, Table5691[[#This Row],[EQS category]]="High",1),"")</f>
        <v/>
      </c>
      <c r="AA70" s="15" t="s">
        <v>155</v>
      </c>
      <c r="AB70" s="21">
        <v>0</v>
      </c>
      <c r="AC70" s="21">
        <v>2</v>
      </c>
      <c r="AD70" s="15" t="s">
        <v>98</v>
      </c>
    </row>
    <row r="71" spans="3:31" x14ac:dyDescent="0.4">
      <c r="C71" s="67" t="str">
        <f>C45</f>
        <v/>
      </c>
      <c r="D71" s="67" t="str">
        <f>E46</f>
        <v/>
      </c>
      <c r="E71" s="67" t="str">
        <f>G45</f>
        <v>Inside site boundary</v>
      </c>
      <c r="F71" s="76" t="str">
        <f>IFERROR(AVERAGE(I45:J46,I50:J51,I55:J56,I60:J61),"")</f>
        <v/>
      </c>
      <c r="G71" s="56" t="str" cm="1">
        <f t="array" ref="G71">IFERROR(INDEX(Table995[EQS category ref], MATCH(1, (Table5691[[#This Row],[Abiotic indicator]]=Table995[Biotic index ref])*(F71&gt;=Table995[Equal or larger than])*(F71&lt;Table995[smaller than]),0)),"")</f>
        <v/>
      </c>
      <c r="H71" s="110" t="str" cm="1">
        <f t="array" ref="H71">IFERROR(_xlfn.IFS(Table5691[[#This Row],[EQS category]]="Bad",5, Table5691[[#This Row],[EQS category]]="Poor",4, Table5691[[#This Row],[EQS category]]="Moderate",3, Table5691[[#This Row],[EQS category]]="Good",2, Table5691[[#This Row],[EQS category]]="High",1),"")</f>
        <v/>
      </c>
      <c r="AA71" s="15" t="s">
        <v>155</v>
      </c>
      <c r="AB71" s="21">
        <v>2</v>
      </c>
      <c r="AC71" s="21">
        <v>3</v>
      </c>
      <c r="AD71" s="15" t="s">
        <v>105</v>
      </c>
    </row>
    <row r="72" spans="3:31" x14ac:dyDescent="0.4">
      <c r="C72" s="67" t="str">
        <f>C7</f>
        <v/>
      </c>
      <c r="D72" s="67" t="str">
        <f>E7</f>
        <v/>
      </c>
      <c r="E72" s="67" t="str">
        <f>G7</f>
        <v>On site boundary</v>
      </c>
      <c r="F72" s="76" t="str">
        <f>IFERROR(AVERAGE(I7:J7,I12:J12,I17:J17,I22:J22),"")</f>
        <v/>
      </c>
      <c r="G72" s="56" t="str" cm="1">
        <f t="array" ref="G72">IFERROR(INDEX(Table995[EQS category ref], MATCH(1, (Table5691[[#This Row],[Abiotic indicator]]=Table995[Biotic index ref])*(F72&gt;=Table995[Equal or larger than])*(F72&lt;Table995[smaller than]),0)),"")</f>
        <v/>
      </c>
      <c r="H72" s="110" t="str" cm="1">
        <f t="array" ref="H72">IFERROR(_xlfn.IFS(Table5691[[#This Row],[EQS category]]="Bad",5, Table5691[[#This Row],[EQS category]]="Poor",4, Table5691[[#This Row],[EQS category]]="Moderate",3, Table5691[[#This Row],[EQS category]]="Good",2, Table5691[[#This Row],[EQS category]]="High",1),"")</f>
        <v/>
      </c>
      <c r="AA72" s="15" t="s">
        <v>155</v>
      </c>
      <c r="AB72" s="21">
        <v>3</v>
      </c>
      <c r="AC72" s="21">
        <v>4</v>
      </c>
      <c r="AD72" s="15" t="s">
        <v>108</v>
      </c>
    </row>
    <row r="73" spans="3:31" x14ac:dyDescent="0.4">
      <c r="C73" s="67" t="str">
        <f>C27</f>
        <v/>
      </c>
      <c r="D73" s="67" t="str">
        <f>E27</f>
        <v/>
      </c>
      <c r="E73" s="67" t="str">
        <f>G27</f>
        <v>On site boundary</v>
      </c>
      <c r="F73" s="76" t="str">
        <f>IFERROR(AVERAGE(I27:J27,I32:J32,I37:J37,I42:J42),"")</f>
        <v/>
      </c>
      <c r="G73" s="56" t="str" cm="1">
        <f t="array" ref="G73">IFERROR(INDEX(Table995[EQS category ref], MATCH(1, (Table5691[[#This Row],[Abiotic indicator]]=Table995[Biotic index ref])*(F73&gt;=Table995[Equal or larger than])*(F73&lt;Table995[smaller than]),0)),"")</f>
        <v/>
      </c>
      <c r="H73" s="110" t="str" cm="1">
        <f t="array" ref="H73">IFERROR(_xlfn.IFS(Table5691[[#This Row],[EQS category]]="Bad",5, Table5691[[#This Row],[EQS category]]="Poor",4, Table5691[[#This Row],[EQS category]]="Moderate",3, Table5691[[#This Row],[EQS category]]="Good",2, Table5691[[#This Row],[EQS category]]="High",1),"")</f>
        <v/>
      </c>
      <c r="AA73" s="15" t="s">
        <v>155</v>
      </c>
      <c r="AB73" s="21">
        <v>4</v>
      </c>
      <c r="AC73" s="21">
        <v>6</v>
      </c>
      <c r="AD73" s="15" t="s">
        <v>100</v>
      </c>
    </row>
    <row r="74" spans="3:31" x14ac:dyDescent="0.4">
      <c r="C74" s="67" t="str">
        <f>C47</f>
        <v/>
      </c>
      <c r="D74" s="67" t="str">
        <f>E47</f>
        <v/>
      </c>
      <c r="E74" s="67" t="str">
        <f>G47</f>
        <v>On site boundary</v>
      </c>
      <c r="F74" s="76" t="str">
        <f>IFERROR(AVERAGE(I47:J47,I52:J52,I57:J57,I62:J62),"")</f>
        <v/>
      </c>
      <c r="G74" s="56" t="str" cm="1">
        <f t="array" ref="G74">IFERROR(INDEX(Table995[EQS category ref], MATCH(1, (Table5691[[#This Row],[Abiotic indicator]]=Table995[Biotic index ref])*(F74&gt;=Table995[Equal or larger than])*(F74&lt;Table995[smaller than]),0)),"")</f>
        <v/>
      </c>
      <c r="H74" s="110" t="str" cm="1">
        <f t="array" ref="H74">IFERROR(_xlfn.IFS(Table5691[[#This Row],[EQS category]]="Bad",5, Table5691[[#This Row],[EQS category]]="Poor",4, Table5691[[#This Row],[EQS category]]="Moderate",3, Table5691[[#This Row],[EQS category]]="Good",2, Table5691[[#This Row],[EQS category]]="High",1),"")</f>
        <v/>
      </c>
      <c r="AA74" s="15" t="s">
        <v>155</v>
      </c>
      <c r="AB74" s="21">
        <v>6</v>
      </c>
      <c r="AC74" s="21">
        <v>1000</v>
      </c>
      <c r="AD74" s="15" t="s">
        <v>101</v>
      </c>
      <c r="AE74" s="15" t="s">
        <v>141</v>
      </c>
    </row>
    <row r="75" spans="3:31" x14ac:dyDescent="0.4">
      <c r="C75" s="67" t="str">
        <f>C8</f>
        <v/>
      </c>
      <c r="D75" s="67" t="str">
        <f>E8</f>
        <v/>
      </c>
      <c r="E75" s="67" t="str">
        <f>G8</f>
        <v>Outside site boundary</v>
      </c>
      <c r="F75" s="76" t="str">
        <f>IFERROR(AVERAGE(I8:J9,I13:J14,I18:J19,I23:J24),"")</f>
        <v/>
      </c>
      <c r="G75" s="56" t="str" cm="1">
        <f t="array" ref="G75">IFERROR(INDEX(Table995[EQS category ref], MATCH(1, (Table5691[[#This Row],[Abiotic indicator]]=Table995[Biotic index ref])*(F75&gt;=Table995[Equal or larger than])*(F75&lt;Table995[smaller than]),0)),"")</f>
        <v/>
      </c>
      <c r="H75" s="110" t="str" cm="1">
        <f t="array" ref="H75">IFERROR(_xlfn.IFS(Table5691[[#This Row],[EQS category]]="Bad",5, Table5691[[#This Row],[EQS category]]="Poor",4, Table5691[[#This Row],[EQS category]]="Moderate",3, Table5691[[#This Row],[EQS category]]="Good",2, Table5691[[#This Row],[EQS category]]="High",1),"")</f>
        <v/>
      </c>
    </row>
    <row r="76" spans="3:31" x14ac:dyDescent="0.4">
      <c r="C76" s="67" t="str">
        <f>C29</f>
        <v/>
      </c>
      <c r="D76" s="67" t="str">
        <f>E29</f>
        <v/>
      </c>
      <c r="E76" s="67" t="str">
        <f>G28</f>
        <v>Outside site boundary</v>
      </c>
      <c r="F76" s="76" t="str">
        <f>IFERROR(AVERAGE(I28:J29,I33:J34,I38:J39,I43:J44),"")</f>
        <v/>
      </c>
      <c r="G76" s="56" t="str" cm="1">
        <f t="array" ref="G76">IFERROR(INDEX(Table995[EQS category ref], MATCH(1, (Table5691[[#This Row],[Abiotic indicator]]=Table995[Biotic index ref])*(F76&gt;=Table995[Equal or larger than])*(F76&lt;Table995[smaller than]),0)),"")</f>
        <v/>
      </c>
      <c r="H76" s="110" t="str" cm="1">
        <f t="array" ref="H76">IFERROR(_xlfn.IFS(Table5691[[#This Row],[EQS category]]="Bad",5, Table5691[[#This Row],[EQS category]]="Poor",4, Table5691[[#This Row],[EQS category]]="Moderate",3, Table5691[[#This Row],[EQS category]]="Good",2, Table5691[[#This Row],[EQS category]]="High",1),"")</f>
        <v/>
      </c>
      <c r="AA76" s="18" t="s">
        <v>118</v>
      </c>
    </row>
    <row r="77" spans="3:31" x14ac:dyDescent="0.4">
      <c r="C77" s="67" t="str">
        <f>C48</f>
        <v/>
      </c>
      <c r="D77" s="67" t="str">
        <f>E48</f>
        <v/>
      </c>
      <c r="E77" s="67" t="str">
        <f>G48</f>
        <v>Outside site boundary</v>
      </c>
      <c r="F77" s="76" t="str">
        <f>IFERROR(AVERAGE(I48:J49,I53:J54,I58:J59,I63:J64),"")</f>
        <v/>
      </c>
      <c r="G77" s="56" t="str" cm="1">
        <f t="array" ref="G77">IFERROR(INDEX(Table995[EQS category ref], MATCH(1, (Table5691[[#This Row],[Abiotic indicator]]=Table995[Biotic index ref])*(F77&gt;=Table995[Equal or larger than])*(F77&lt;Table995[smaller than]),0)),"")</f>
        <v/>
      </c>
      <c r="H77" s="110" t="str" cm="1">
        <f t="array" ref="H77">IFERROR(_xlfn.IFS(Table5691[[#This Row],[EQS category]]="Bad",5, Table5691[[#This Row],[EQS category]]="Poor",4, Table5691[[#This Row],[EQS category]]="Moderate",3, Table5691[[#This Row],[EQS category]]="Good",2, Table5691[[#This Row],[EQS category]]="High",1),"")</f>
        <v/>
      </c>
    </row>
    <row r="78" spans="3:31" x14ac:dyDescent="0.4">
      <c r="AA78" s="15" t="s">
        <v>87</v>
      </c>
      <c r="AB78" s="82" t="s">
        <v>119</v>
      </c>
      <c r="AC78" s="15" t="s">
        <v>120</v>
      </c>
      <c r="AD78" s="15" t="s">
        <v>121</v>
      </c>
      <c r="AE78" s="15" t="s">
        <v>56</v>
      </c>
    </row>
    <row r="79" spans="3:31" x14ac:dyDescent="0.4">
      <c r="D79" s="18" t="s">
        <v>1928</v>
      </c>
      <c r="AA79" s="15" t="s">
        <v>101</v>
      </c>
      <c r="AB79" s="15">
        <v>4.0000099999999996</v>
      </c>
      <c r="AC79" s="15">
        <v>6</v>
      </c>
      <c r="AD79" s="42">
        <v>5</v>
      </c>
      <c r="AE79" s="15" t="s">
        <v>99</v>
      </c>
    </row>
    <row r="80" spans="3:31" hidden="1" x14ac:dyDescent="0.4">
      <c r="C80" s="62">
        <v>6.17</v>
      </c>
      <c r="D80" s="62">
        <v>6.18</v>
      </c>
      <c r="E80" s="62">
        <v>6.19</v>
      </c>
      <c r="F80" s="62">
        <v>6.21</v>
      </c>
      <c r="AA80" s="15" t="s">
        <v>100</v>
      </c>
      <c r="AB80" s="15">
        <v>3.1</v>
      </c>
      <c r="AC80" s="15">
        <v>4.0000099999999996</v>
      </c>
      <c r="AD80" s="42">
        <v>4</v>
      </c>
    </row>
    <row r="81" spans="3:31" ht="17.399999999999999" thickBot="1" x14ac:dyDescent="0.45">
      <c r="C81" s="64" t="s">
        <v>128</v>
      </c>
      <c r="D81" s="64" t="s">
        <v>80</v>
      </c>
      <c r="E81" s="79" t="s">
        <v>129</v>
      </c>
      <c r="F81" s="79" t="s">
        <v>130</v>
      </c>
      <c r="AA81" s="15" t="s">
        <v>108</v>
      </c>
      <c r="AB81" s="15">
        <v>2.1</v>
      </c>
      <c r="AC81" s="15">
        <v>3.09999</v>
      </c>
      <c r="AD81" s="42">
        <v>3</v>
      </c>
    </row>
    <row r="82" spans="3:31" ht="17.399999999999999" thickTop="1" x14ac:dyDescent="0.4">
      <c r="C82" s="67" t="str">
        <f>C69</f>
        <v/>
      </c>
      <c r="D82" s="94" t="str">
        <f>E69</f>
        <v>Inside site boundary</v>
      </c>
      <c r="E82" s="76" t="str">
        <f>IFERROR((H69+H70+H71)/3,"")</f>
        <v/>
      </c>
      <c r="F82" s="104" t="str" cm="1">
        <f t="array" ref="F82">IFERROR(INDEX(Table201518[EQS category ref], MATCH(1,(Table5792[[#This Row],[Zone EQS score]]&gt;Table201518[Larger than])*(Table5792[[#This Row],[Zone EQS score]]&lt;=Table201518[Equal or smaller than]),0)),"")</f>
        <v/>
      </c>
      <c r="AA82" s="15" t="s">
        <v>105</v>
      </c>
      <c r="AB82" s="15">
        <v>1.1000000000000001</v>
      </c>
      <c r="AC82" s="15">
        <v>2.09999</v>
      </c>
      <c r="AD82" s="42">
        <v>2</v>
      </c>
    </row>
    <row r="83" spans="3:31" x14ac:dyDescent="0.4">
      <c r="C83" s="94" t="str">
        <f>C70</f>
        <v/>
      </c>
      <c r="D83" s="94" t="str">
        <f>E72</f>
        <v>On site boundary</v>
      </c>
      <c r="E83" s="76" t="str">
        <f>IFERROR((H72+H73+H74)/3,"")</f>
        <v/>
      </c>
      <c r="F83" s="104" t="str" cm="1">
        <f t="array" ref="F83">IFERROR(INDEX(Table201518[EQS category ref], MATCH(1,(Table5792[[#This Row],[Zone EQS score]]&gt;Table201518[Larger than])*(Table5792[[#This Row],[Zone EQS score]]&lt;=Table201518[Equal or smaller than]),0)),"")</f>
        <v/>
      </c>
      <c r="AA83" s="15" t="s">
        <v>98</v>
      </c>
      <c r="AB83" s="15">
        <v>0</v>
      </c>
      <c r="AC83" s="15">
        <v>1.09999</v>
      </c>
      <c r="AD83" s="42">
        <v>1</v>
      </c>
      <c r="AE83" s="15" t="s">
        <v>123</v>
      </c>
    </row>
    <row r="84" spans="3:31" x14ac:dyDescent="0.4">
      <c r="C84" s="94" t="str">
        <f>C71</f>
        <v/>
      </c>
      <c r="D84" s="94" t="str">
        <f>E75</f>
        <v>Outside site boundary</v>
      </c>
      <c r="E84" s="76" t="str">
        <f>IFERROR((H75+H76+H77)/3,"")</f>
        <v/>
      </c>
      <c r="F84" s="104" t="str" cm="1">
        <f t="array" ref="F84">IFERROR(INDEX(Table201518[EQS category ref], MATCH(1,(Table5792[[#This Row],[Zone EQS score]]&gt;Table201518[Larger than])*(Table5792[[#This Row],[Zone EQS score]]&lt;=Table201518[Equal or smaller than]),0)),"")</f>
        <v/>
      </c>
    </row>
    <row r="86" spans="3:31" x14ac:dyDescent="0.4">
      <c r="D86" s="18" t="s">
        <v>1922</v>
      </c>
    </row>
    <row r="87" spans="3:31" hidden="1" x14ac:dyDescent="0.4">
      <c r="C87" s="62">
        <v>6.22</v>
      </c>
      <c r="D87" s="62">
        <v>6.23</v>
      </c>
    </row>
    <row r="88" spans="3:31" x14ac:dyDescent="0.4">
      <c r="C88" s="64" t="s">
        <v>44</v>
      </c>
      <c r="D88" s="63" t="s">
        <v>169</v>
      </c>
    </row>
    <row r="89" spans="3:31" x14ac:dyDescent="0.4">
      <c r="C89" s="94" t="str">
        <f>C82</f>
        <v/>
      </c>
      <c r="D89" s="56" t="str" cm="1">
        <f t="array" ref="D89">IFERROR(INDEX(Table769097[Benthic status], MATCH(1, (F82=Table769097[Inside site boundary])*(F83=Table769097[Outside site boundary])*(F84=Table769097[Outside site boundary]), 0)),"")</f>
        <v/>
      </c>
    </row>
  </sheetData>
  <sheetProtection algorithmName="SHA-512" hashValue="OQUX5XixI+xO1Z/b5FXteXb7YUWDq9C/gEbkCj5okgAOKQ58JSCWI7yp4dOzN5uj7/ZoPM8Bqs5CexXml2RDYQ==" saltValue="tE76+INghdz405RXrh4tnA==" spinCount="100000" sheet="1" objects="1" scenarios="1"/>
  <phoneticPr fontId="6" type="noConversion"/>
  <dataValidations count="2">
    <dataValidation type="date" allowBlank="1" showInputMessage="1" showErrorMessage="1" sqref="D5:D64" xr:uid="{08B84177-6500-4277-BD71-0EE0E80EAA1F}">
      <formula1>43831</formula1>
      <formula2>73051</formula2>
    </dataValidation>
    <dataValidation type="decimal" allowBlank="1" showInputMessage="1" showErrorMessage="1" sqref="I5:J64" xr:uid="{97196EBB-40E8-4FFA-B7B3-CE41F5D0879D}">
      <formula1>-1000000</formula1>
      <formula2>1000000</formula2>
    </dataValidation>
  </dataValidations>
  <pageMargins left="0.7" right="0.7" top="0.75" bottom="0.75" header="0.3" footer="0.3"/>
  <ignoredErrors>
    <ignoredError sqref="E82:E84 E69:E77 D69:D77 D82:D84 C69:C77" calculatedColumn="1"/>
    <ignoredError sqref="H25:H64" unlockedFormula="1"/>
  </ignoredErrors>
  <drawing r:id="rId1"/>
  <tableParts count="7">
    <tablePart r:id="rId2"/>
    <tablePart r:id="rId3"/>
    <tablePart r:id="rId4"/>
    <tablePart r:id="rId5"/>
    <tablePart r:id="rId6"/>
    <tablePart r:id="rId7"/>
    <tablePart r:id="rId8"/>
  </tableParts>
  <extLst>
    <ext xmlns:x14="http://schemas.microsoft.com/office/spreadsheetml/2009/9/main" uri="{CCE6A557-97BC-4b89-ADB6-D9C93CAAB3DF}">
      <x14:dataValidations xmlns:xm="http://schemas.microsoft.com/office/excel/2006/main" count="1">
        <x14:dataValidation type="list" allowBlank="1" showInputMessage="1" showErrorMessage="1" xr:uid="{632E27A3-9E78-41C1-BACA-C194C296BA2B}">
          <x14:formula1>
            <xm:f>'Dropdown tables - Production'!$Z$2:$Z$16</xm:f>
          </x14:formula1>
          <xm:sqref>E45 E5 E25</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60FF0F-48C3-4FE7-A69E-350EB44C5B93}">
  <sheetPr codeName="Sheet12">
    <tabColor theme="9" tint="0.59999389629810485"/>
  </sheetPr>
  <dimension ref="A2:BI129"/>
  <sheetViews>
    <sheetView zoomScale="80" zoomScaleNormal="80" workbookViewId="0"/>
  </sheetViews>
  <sheetFormatPr defaultColWidth="9" defaultRowHeight="16.8" x14ac:dyDescent="0.4"/>
  <cols>
    <col min="1" max="1" width="9" style="15"/>
    <col min="2" max="2" width="0" style="15" hidden="1" customWidth="1"/>
    <col min="3" max="3" width="13.77734375" style="15" hidden="1" customWidth="1"/>
    <col min="4" max="4" width="21.21875" style="15" customWidth="1"/>
    <col min="5" max="5" width="20.77734375" style="15" bestFit="1" customWidth="1"/>
    <col min="6" max="7" width="26" style="15" customWidth="1"/>
    <col min="8" max="8" width="23" style="15" customWidth="1"/>
    <col min="9" max="9" width="16.5546875" style="15" customWidth="1"/>
    <col min="10" max="10" width="15.21875" style="15" bestFit="1" customWidth="1"/>
    <col min="11" max="11" width="17.21875" style="15" customWidth="1"/>
    <col min="12" max="12" width="9" style="15"/>
    <col min="13" max="19" width="9" style="15" customWidth="1"/>
    <col min="20" max="20" width="9" style="15"/>
    <col min="21" max="28" width="9" style="15" customWidth="1"/>
    <col min="29" max="40" width="9" style="15" hidden="1" customWidth="1"/>
    <col min="41" max="44" width="9" style="15" customWidth="1"/>
    <col min="45" max="46" width="9" style="15"/>
    <col min="47" max="47" width="9" style="15" customWidth="1"/>
    <col min="48" max="16384" width="9" style="15"/>
  </cols>
  <sheetData>
    <row r="2" spans="1:61" x14ac:dyDescent="0.4">
      <c r="D2" s="18" t="s">
        <v>1923</v>
      </c>
      <c r="G2" s="40"/>
      <c r="T2" s="18"/>
      <c r="Y2" s="20"/>
      <c r="AB2" s="32"/>
      <c r="AC2" s="32"/>
      <c r="AD2" s="32"/>
      <c r="AE2" s="32"/>
      <c r="AF2" s="32"/>
      <c r="AG2" s="32"/>
      <c r="AH2" s="32"/>
      <c r="AI2" s="32"/>
      <c r="AJ2" s="32"/>
      <c r="AK2" s="18" t="s">
        <v>76</v>
      </c>
    </row>
    <row r="3" spans="1:61" hidden="1" x14ac:dyDescent="0.4">
      <c r="C3" s="15">
        <v>7.1</v>
      </c>
      <c r="D3" s="15">
        <v>7.2</v>
      </c>
      <c r="E3" s="15">
        <v>7.3</v>
      </c>
      <c r="F3" s="15">
        <v>7.4</v>
      </c>
      <c r="G3" s="15">
        <v>7.5</v>
      </c>
      <c r="H3" s="15">
        <v>7.6</v>
      </c>
      <c r="I3" s="15">
        <v>7.7</v>
      </c>
      <c r="J3" s="15">
        <v>7.8</v>
      </c>
      <c r="K3" s="15">
        <v>7.9</v>
      </c>
    </row>
    <row r="4" spans="1:61" s="24" customFormat="1" ht="34.200000000000003" customHeight="1" thickBot="1" x14ac:dyDescent="0.45">
      <c r="C4" s="59" t="s">
        <v>44</v>
      </c>
      <c r="D4" s="58" t="s">
        <v>77</v>
      </c>
      <c r="E4" s="108" t="s">
        <v>115</v>
      </c>
      <c r="F4" s="92" t="s">
        <v>79</v>
      </c>
      <c r="G4" s="108" t="s">
        <v>80</v>
      </c>
      <c r="H4" s="92" t="s">
        <v>81</v>
      </c>
      <c r="I4" s="92" t="s">
        <v>82</v>
      </c>
      <c r="J4" s="92" t="s">
        <v>83</v>
      </c>
      <c r="K4" s="107" t="s">
        <v>56</v>
      </c>
      <c r="AC4" s="273" t="s">
        <v>84</v>
      </c>
      <c r="AD4" s="274" t="s">
        <v>80</v>
      </c>
      <c r="AE4" s="274" t="s">
        <v>85</v>
      </c>
      <c r="AF4" s="274" t="s">
        <v>86</v>
      </c>
      <c r="AG4" s="274" t="s">
        <v>87</v>
      </c>
      <c r="AH4" s="274" t="s">
        <v>56</v>
      </c>
      <c r="AI4" s="17"/>
      <c r="AK4" s="275" t="s">
        <v>88</v>
      </c>
      <c r="AL4" s="274" t="s">
        <v>95</v>
      </c>
      <c r="AM4" s="274" t="s">
        <v>103</v>
      </c>
      <c r="AN4" s="274" t="s">
        <v>92</v>
      </c>
      <c r="AO4" s="17"/>
      <c r="AP4" s="17"/>
      <c r="AQ4" s="17"/>
      <c r="AR4" s="17"/>
      <c r="AS4" s="17"/>
      <c r="AT4" s="17"/>
      <c r="AU4" s="17"/>
      <c r="AV4" s="17"/>
      <c r="AW4" s="17"/>
      <c r="AX4" s="17"/>
      <c r="AY4" s="17"/>
      <c r="AZ4" s="17"/>
      <c r="BA4" s="17"/>
      <c r="BB4" s="17"/>
      <c r="BC4" s="17"/>
      <c r="BD4" s="17"/>
      <c r="BE4" s="17"/>
      <c r="BF4" s="17"/>
      <c r="BG4" s="17"/>
      <c r="BH4" s="17"/>
      <c r="BI4" s="17"/>
    </row>
    <row r="5" spans="1:61" ht="17.399999999999999" thickTop="1" x14ac:dyDescent="0.4">
      <c r="A5" s="84"/>
      <c r="C5" s="109">
        <f>'Site and production details'!C5</f>
        <v>0</v>
      </c>
      <c r="D5" s="153"/>
      <c r="E5" s="339" t="s">
        <v>97</v>
      </c>
      <c r="F5" s="224" t="s">
        <v>94</v>
      </c>
      <c r="G5" s="135" t="s">
        <v>95</v>
      </c>
      <c r="H5" s="276" t="s">
        <v>96</v>
      </c>
      <c r="I5" s="224"/>
      <c r="J5" s="224"/>
      <c r="K5" s="225"/>
      <c r="AC5" s="15" t="s">
        <v>97</v>
      </c>
      <c r="AD5" s="15" t="s">
        <v>95</v>
      </c>
      <c r="AE5" s="105">
        <v>100</v>
      </c>
      <c r="AF5" s="105">
        <v>1000000</v>
      </c>
      <c r="AG5" s="15" t="s">
        <v>98</v>
      </c>
      <c r="AH5" s="15" t="s">
        <v>99</v>
      </c>
      <c r="AK5" s="15" t="s">
        <v>101</v>
      </c>
      <c r="AL5" s="15" t="s">
        <v>101</v>
      </c>
      <c r="AM5" s="15" t="s">
        <v>101</v>
      </c>
      <c r="AN5" s="15" t="s">
        <v>102</v>
      </c>
    </row>
    <row r="6" spans="1:61" x14ac:dyDescent="0.4">
      <c r="A6" s="84"/>
      <c r="C6" s="132">
        <f>C5</f>
        <v>0</v>
      </c>
      <c r="D6" s="153"/>
      <c r="E6" s="340" t="s">
        <v>97</v>
      </c>
      <c r="F6" s="226" t="s">
        <v>94</v>
      </c>
      <c r="G6" s="136" t="s">
        <v>103</v>
      </c>
      <c r="H6" s="277" t="s">
        <v>104</v>
      </c>
      <c r="I6" s="226"/>
      <c r="J6" s="226"/>
      <c r="K6" s="227"/>
      <c r="AC6" s="15" t="s">
        <v>97</v>
      </c>
      <c r="AD6" s="15" t="s">
        <v>95</v>
      </c>
      <c r="AE6" s="21">
        <v>0</v>
      </c>
      <c r="AF6" s="21">
        <v>100</v>
      </c>
      <c r="AG6" s="15" t="s">
        <v>105</v>
      </c>
      <c r="AK6" s="15" t="s">
        <v>101</v>
      </c>
      <c r="AL6" s="15" t="s">
        <v>101</v>
      </c>
      <c r="AM6" s="15" t="s">
        <v>100</v>
      </c>
      <c r="AN6" s="15" t="s">
        <v>102</v>
      </c>
    </row>
    <row r="7" spans="1:61" x14ac:dyDescent="0.4">
      <c r="A7" s="84"/>
      <c r="C7" s="132">
        <f t="shared" ref="C7:C16" si="0">C6</f>
        <v>0</v>
      </c>
      <c r="D7" s="153"/>
      <c r="E7" s="341" t="s">
        <v>97</v>
      </c>
      <c r="F7" s="228" t="s">
        <v>94</v>
      </c>
      <c r="G7" s="137" t="s">
        <v>109</v>
      </c>
      <c r="H7" s="278">
        <v>150</v>
      </c>
      <c r="I7" s="228"/>
      <c r="J7" s="228"/>
      <c r="K7" s="227"/>
      <c r="AC7" s="15" t="s">
        <v>97</v>
      </c>
      <c r="AD7" s="15" t="s">
        <v>95</v>
      </c>
      <c r="AE7" s="21">
        <v>-100</v>
      </c>
      <c r="AF7" s="21">
        <v>0</v>
      </c>
      <c r="AG7" s="15" t="s">
        <v>108</v>
      </c>
      <c r="AK7" s="15" t="s">
        <v>101</v>
      </c>
      <c r="AL7" s="15" t="s">
        <v>101</v>
      </c>
      <c r="AM7" s="15" t="s">
        <v>108</v>
      </c>
      <c r="AN7" s="15" t="s">
        <v>102</v>
      </c>
    </row>
    <row r="8" spans="1:61" x14ac:dyDescent="0.4">
      <c r="A8" s="84"/>
      <c r="C8" s="132">
        <f t="shared" si="0"/>
        <v>0</v>
      </c>
      <c r="D8" s="153"/>
      <c r="E8" s="116" t="s">
        <v>170</v>
      </c>
      <c r="F8" s="212" t="s">
        <v>94</v>
      </c>
      <c r="G8" s="135" t="s">
        <v>95</v>
      </c>
      <c r="H8" s="279" t="str">
        <f t="shared" ref="H8:H16" si="1">H5</f>
        <v>0-30</v>
      </c>
      <c r="I8" s="212"/>
      <c r="J8" s="212"/>
      <c r="K8" s="221"/>
      <c r="U8" s="20"/>
      <c r="V8" s="20"/>
      <c r="AC8" s="15" t="s">
        <v>97</v>
      </c>
      <c r="AD8" s="15" t="s">
        <v>95</v>
      </c>
      <c r="AE8" s="21">
        <v>-150</v>
      </c>
      <c r="AF8" s="21">
        <v>-100</v>
      </c>
      <c r="AG8" s="15" t="s">
        <v>100</v>
      </c>
      <c r="AK8" s="15" t="s">
        <v>101</v>
      </c>
      <c r="AL8" s="15" t="s">
        <v>101</v>
      </c>
      <c r="AM8" s="15" t="s">
        <v>105</v>
      </c>
      <c r="AN8" s="15" t="s">
        <v>102</v>
      </c>
    </row>
    <row r="9" spans="1:61" x14ac:dyDescent="0.4">
      <c r="A9" s="84"/>
      <c r="C9" s="132">
        <f t="shared" si="0"/>
        <v>0</v>
      </c>
      <c r="D9" s="153"/>
      <c r="E9" s="146" t="s">
        <v>170</v>
      </c>
      <c r="F9" s="213" t="s">
        <v>94</v>
      </c>
      <c r="G9" s="136" t="s">
        <v>103</v>
      </c>
      <c r="H9" s="280" t="str">
        <f t="shared" si="1"/>
        <v>31-100</v>
      </c>
      <c r="I9" s="213"/>
      <c r="J9" s="213"/>
      <c r="K9" s="183"/>
      <c r="U9" s="20"/>
      <c r="V9" s="20"/>
      <c r="W9" s="20"/>
      <c r="X9" s="20"/>
      <c r="AC9" s="15" t="s">
        <v>97</v>
      </c>
      <c r="AD9" s="15" t="s">
        <v>95</v>
      </c>
      <c r="AE9" s="21">
        <v>-10000000</v>
      </c>
      <c r="AF9" s="21">
        <v>-150</v>
      </c>
      <c r="AG9" s="15" t="s">
        <v>101</v>
      </c>
      <c r="AH9" s="15" t="s">
        <v>111</v>
      </c>
      <c r="AK9" s="15" t="s">
        <v>101</v>
      </c>
      <c r="AL9" s="15" t="s">
        <v>101</v>
      </c>
      <c r="AM9" s="15" t="s">
        <v>98</v>
      </c>
      <c r="AN9" s="15" t="s">
        <v>102</v>
      </c>
    </row>
    <row r="10" spans="1:61" x14ac:dyDescent="0.4">
      <c r="A10" s="84"/>
      <c r="C10" s="132">
        <f t="shared" si="0"/>
        <v>0</v>
      </c>
      <c r="D10" s="153"/>
      <c r="E10" s="134" t="s">
        <v>170</v>
      </c>
      <c r="F10" s="214" t="s">
        <v>94</v>
      </c>
      <c r="G10" s="138" t="s">
        <v>109</v>
      </c>
      <c r="H10" s="281">
        <f t="shared" si="1"/>
        <v>150</v>
      </c>
      <c r="I10" s="214"/>
      <c r="J10" s="214"/>
      <c r="K10" s="180"/>
      <c r="U10" s="20"/>
      <c r="AC10" s="15" t="s">
        <v>97</v>
      </c>
      <c r="AD10" s="15" t="s">
        <v>103</v>
      </c>
      <c r="AE10" s="105">
        <v>100</v>
      </c>
      <c r="AF10" s="105">
        <v>1000000</v>
      </c>
      <c r="AG10" s="15" t="s">
        <v>98</v>
      </c>
      <c r="AH10" s="15" t="s">
        <v>99</v>
      </c>
      <c r="AK10" s="15" t="s">
        <v>101</v>
      </c>
      <c r="AL10" s="15" t="s">
        <v>100</v>
      </c>
      <c r="AM10" s="15" t="s">
        <v>101</v>
      </c>
      <c r="AN10" s="15" t="s">
        <v>102</v>
      </c>
    </row>
    <row r="11" spans="1:61" x14ac:dyDescent="0.4">
      <c r="A11" s="84"/>
      <c r="C11" s="132">
        <f t="shared" si="0"/>
        <v>0</v>
      </c>
      <c r="D11" s="153"/>
      <c r="E11" s="113" t="s">
        <v>171</v>
      </c>
      <c r="F11" s="217" t="s">
        <v>94</v>
      </c>
      <c r="G11" s="139" t="s">
        <v>95</v>
      </c>
      <c r="H11" s="282" t="str">
        <f t="shared" si="1"/>
        <v>0-30</v>
      </c>
      <c r="I11" s="217"/>
      <c r="J11" s="217"/>
      <c r="K11" s="221"/>
      <c r="T11" s="20"/>
      <c r="U11" s="20"/>
      <c r="V11" s="20"/>
      <c r="AC11" s="15" t="s">
        <v>97</v>
      </c>
      <c r="AD11" s="15" t="s">
        <v>103</v>
      </c>
      <c r="AE11" s="21">
        <v>0</v>
      </c>
      <c r="AF11" s="21">
        <v>100</v>
      </c>
      <c r="AG11" s="15" t="s">
        <v>105</v>
      </c>
      <c r="AK11" s="15" t="s">
        <v>101</v>
      </c>
      <c r="AL11" s="15" t="s">
        <v>100</v>
      </c>
      <c r="AM11" s="15" t="s">
        <v>100</v>
      </c>
      <c r="AN11" s="15" t="s">
        <v>102</v>
      </c>
    </row>
    <row r="12" spans="1:61" x14ac:dyDescent="0.4">
      <c r="A12" s="84"/>
      <c r="C12" s="132">
        <f t="shared" si="0"/>
        <v>0</v>
      </c>
      <c r="D12" s="153"/>
      <c r="E12" s="342" t="s">
        <v>171</v>
      </c>
      <c r="F12" s="228" t="s">
        <v>94</v>
      </c>
      <c r="G12" s="137" t="s">
        <v>103</v>
      </c>
      <c r="H12" s="278" t="str">
        <f t="shared" si="1"/>
        <v>31-100</v>
      </c>
      <c r="I12" s="228"/>
      <c r="J12" s="228"/>
      <c r="K12" s="183"/>
      <c r="T12" s="20"/>
      <c r="V12" s="20"/>
      <c r="AC12" s="15" t="s">
        <v>97</v>
      </c>
      <c r="AD12" s="15" t="s">
        <v>103</v>
      </c>
      <c r="AE12" s="21">
        <v>-100</v>
      </c>
      <c r="AF12" s="21">
        <v>0</v>
      </c>
      <c r="AG12" s="15" t="s">
        <v>108</v>
      </c>
      <c r="AK12" s="15" t="s">
        <v>101</v>
      </c>
      <c r="AL12" s="15" t="s">
        <v>100</v>
      </c>
      <c r="AM12" s="15" t="s">
        <v>108</v>
      </c>
      <c r="AN12" s="15" t="s">
        <v>102</v>
      </c>
    </row>
    <row r="13" spans="1:61" x14ac:dyDescent="0.4">
      <c r="A13" s="84"/>
      <c r="C13" s="132">
        <f t="shared" si="0"/>
        <v>0</v>
      </c>
      <c r="D13" s="153"/>
      <c r="E13" s="343" t="s">
        <v>171</v>
      </c>
      <c r="F13" s="229" t="s">
        <v>94</v>
      </c>
      <c r="G13" s="140" t="s">
        <v>109</v>
      </c>
      <c r="H13" s="283">
        <f t="shared" si="1"/>
        <v>150</v>
      </c>
      <c r="I13" s="229"/>
      <c r="J13" s="229"/>
      <c r="K13" s="180"/>
      <c r="U13" s="20"/>
      <c r="V13" s="20"/>
      <c r="AC13" s="15" t="s">
        <v>97</v>
      </c>
      <c r="AD13" s="15" t="s">
        <v>103</v>
      </c>
      <c r="AE13" s="21">
        <v>-150</v>
      </c>
      <c r="AF13" s="21">
        <v>-100</v>
      </c>
      <c r="AG13" s="15" t="s">
        <v>100</v>
      </c>
      <c r="AK13" s="15" t="s">
        <v>101</v>
      </c>
      <c r="AL13" s="15" t="s">
        <v>100</v>
      </c>
      <c r="AM13" s="15" t="s">
        <v>105</v>
      </c>
      <c r="AN13" s="15" t="s">
        <v>102</v>
      </c>
    </row>
    <row r="14" spans="1:61" x14ac:dyDescent="0.4">
      <c r="A14" s="84"/>
      <c r="C14" s="132">
        <f t="shared" si="0"/>
        <v>0</v>
      </c>
      <c r="D14" s="153"/>
      <c r="E14" s="119" t="s">
        <v>172</v>
      </c>
      <c r="F14" s="223" t="s">
        <v>94</v>
      </c>
      <c r="G14" s="149" t="s">
        <v>95</v>
      </c>
      <c r="H14" s="284" t="str">
        <f t="shared" si="1"/>
        <v>0-30</v>
      </c>
      <c r="I14" s="223"/>
      <c r="J14" s="223"/>
      <c r="K14" s="222"/>
      <c r="V14" s="20"/>
      <c r="AC14" s="15" t="s">
        <v>97</v>
      </c>
      <c r="AD14" s="15" t="s">
        <v>103</v>
      </c>
      <c r="AE14" s="21">
        <v>-10000000</v>
      </c>
      <c r="AF14" s="21">
        <v>-150</v>
      </c>
      <c r="AG14" s="15" t="s">
        <v>101</v>
      </c>
      <c r="AH14" s="15" t="s">
        <v>111</v>
      </c>
      <c r="AK14" s="15" t="s">
        <v>101</v>
      </c>
      <c r="AL14" s="15" t="s">
        <v>100</v>
      </c>
      <c r="AM14" s="15" t="s">
        <v>98</v>
      </c>
      <c r="AN14" s="15" t="s">
        <v>102</v>
      </c>
    </row>
    <row r="15" spans="1:61" x14ac:dyDescent="0.4">
      <c r="A15" s="84"/>
      <c r="C15" s="132">
        <f t="shared" si="0"/>
        <v>0</v>
      </c>
      <c r="D15" s="153"/>
      <c r="E15" s="133" t="s">
        <v>172</v>
      </c>
      <c r="F15" s="216" t="s">
        <v>94</v>
      </c>
      <c r="G15" s="137" t="s">
        <v>103</v>
      </c>
      <c r="H15" s="285" t="str">
        <f t="shared" si="1"/>
        <v>31-100</v>
      </c>
      <c r="I15" s="216"/>
      <c r="J15" s="216"/>
      <c r="K15" s="183"/>
      <c r="U15" s="20"/>
      <c r="V15" s="20"/>
      <c r="AC15" s="15" t="s">
        <v>97</v>
      </c>
      <c r="AD15" s="15" t="s">
        <v>109</v>
      </c>
      <c r="AE15" s="105">
        <v>100</v>
      </c>
      <c r="AF15" s="105">
        <v>1000000</v>
      </c>
      <c r="AG15" s="15" t="s">
        <v>98</v>
      </c>
      <c r="AH15" s="15" t="s">
        <v>99</v>
      </c>
      <c r="AK15" s="15" t="s">
        <v>101</v>
      </c>
      <c r="AL15" s="15" t="s">
        <v>108</v>
      </c>
      <c r="AM15" s="15" t="s">
        <v>101</v>
      </c>
      <c r="AN15" s="15" t="s">
        <v>102</v>
      </c>
    </row>
    <row r="16" spans="1:61" x14ac:dyDescent="0.4">
      <c r="A16" s="84"/>
      <c r="C16" s="132">
        <f t="shared" si="0"/>
        <v>0</v>
      </c>
      <c r="D16" s="153"/>
      <c r="E16" s="134" t="s">
        <v>172</v>
      </c>
      <c r="F16" s="218" t="s">
        <v>94</v>
      </c>
      <c r="G16" s="140" t="s">
        <v>109</v>
      </c>
      <c r="H16" s="286">
        <f t="shared" si="1"/>
        <v>150</v>
      </c>
      <c r="I16" s="218"/>
      <c r="J16" s="218"/>
      <c r="K16" s="180"/>
      <c r="U16" s="20"/>
      <c r="V16" s="20"/>
      <c r="AC16" s="15" t="s">
        <v>97</v>
      </c>
      <c r="AD16" s="15" t="s">
        <v>109</v>
      </c>
      <c r="AE16" s="21">
        <v>0</v>
      </c>
      <c r="AF16" s="21">
        <v>100</v>
      </c>
      <c r="AG16" s="15" t="s">
        <v>105</v>
      </c>
      <c r="AK16" s="15" t="s">
        <v>101</v>
      </c>
      <c r="AL16" s="15" t="s">
        <v>108</v>
      </c>
      <c r="AM16" s="15" t="s">
        <v>100</v>
      </c>
      <c r="AN16" s="15" t="s">
        <v>102</v>
      </c>
    </row>
    <row r="17" spans="3:40" x14ac:dyDescent="0.4">
      <c r="T17" s="20"/>
      <c r="U17" s="20"/>
      <c r="V17" s="20"/>
      <c r="AC17" s="15" t="s">
        <v>97</v>
      </c>
      <c r="AD17" s="15" t="s">
        <v>109</v>
      </c>
      <c r="AE17" s="21">
        <v>-100</v>
      </c>
      <c r="AF17" s="21">
        <v>0</v>
      </c>
      <c r="AG17" s="15" t="s">
        <v>108</v>
      </c>
      <c r="AK17" s="15" t="s">
        <v>101</v>
      </c>
      <c r="AL17" s="15" t="s">
        <v>108</v>
      </c>
      <c r="AM17" s="15" t="s">
        <v>108</v>
      </c>
      <c r="AN17" s="15" t="s">
        <v>102</v>
      </c>
    </row>
    <row r="18" spans="3:40" x14ac:dyDescent="0.4">
      <c r="D18" s="18" t="s">
        <v>1924</v>
      </c>
      <c r="T18" s="20"/>
      <c r="AC18" s="15" t="s">
        <v>97</v>
      </c>
      <c r="AD18" s="15" t="s">
        <v>109</v>
      </c>
      <c r="AE18" s="21">
        <v>-150</v>
      </c>
      <c r="AF18" s="21">
        <v>-100</v>
      </c>
      <c r="AG18" s="15" t="s">
        <v>100</v>
      </c>
      <c r="AK18" s="15" t="s">
        <v>101</v>
      </c>
      <c r="AL18" s="15" t="s">
        <v>108</v>
      </c>
      <c r="AM18" s="15" t="s">
        <v>105</v>
      </c>
      <c r="AN18" s="15" t="s">
        <v>102</v>
      </c>
    </row>
    <row r="19" spans="3:40" hidden="1" x14ac:dyDescent="0.4">
      <c r="C19" s="15">
        <v>7.11</v>
      </c>
      <c r="D19" s="15">
        <v>7.12</v>
      </c>
      <c r="E19" s="15">
        <v>7.13</v>
      </c>
      <c r="F19" s="15">
        <v>7.14</v>
      </c>
      <c r="G19" s="15">
        <v>7.15</v>
      </c>
      <c r="H19" s="15">
        <v>7.16</v>
      </c>
      <c r="I19" s="15">
        <v>7.17</v>
      </c>
      <c r="J19" s="15">
        <v>7.18</v>
      </c>
      <c r="K19" s="15">
        <v>7.19</v>
      </c>
      <c r="AC19" s="15" t="s">
        <v>97</v>
      </c>
      <c r="AD19" s="15" t="s">
        <v>109</v>
      </c>
      <c r="AE19" s="21">
        <v>-10000000</v>
      </c>
      <c r="AF19" s="21">
        <v>-150</v>
      </c>
      <c r="AG19" s="15" t="s">
        <v>101</v>
      </c>
      <c r="AH19" s="15" t="s">
        <v>111</v>
      </c>
      <c r="AK19" s="15" t="s">
        <v>101</v>
      </c>
      <c r="AL19" s="15" t="s">
        <v>108</v>
      </c>
      <c r="AM19" s="15" t="s">
        <v>98</v>
      </c>
      <c r="AN19" s="15" t="s">
        <v>102</v>
      </c>
    </row>
    <row r="20" spans="3:40" s="17" customFormat="1" ht="46.2" customHeight="1" thickBot="1" x14ac:dyDescent="0.45">
      <c r="C20" s="59" t="s">
        <v>44</v>
      </c>
      <c r="D20" s="58" t="s">
        <v>77</v>
      </c>
      <c r="E20" s="108" t="s">
        <v>115</v>
      </c>
      <c r="F20" s="92" t="s">
        <v>79</v>
      </c>
      <c r="G20" s="108" t="s">
        <v>80</v>
      </c>
      <c r="H20" s="92" t="s">
        <v>81</v>
      </c>
      <c r="I20" s="92" t="s">
        <v>82</v>
      </c>
      <c r="J20" s="92" t="s">
        <v>83</v>
      </c>
      <c r="K20" s="107" t="s">
        <v>56</v>
      </c>
      <c r="O20" s="15"/>
      <c r="P20" s="15"/>
      <c r="Q20" s="15"/>
      <c r="AC20" s="17" t="s">
        <v>170</v>
      </c>
      <c r="AD20" s="17" t="s">
        <v>95</v>
      </c>
      <c r="AE20" s="17">
        <v>-1000000</v>
      </c>
      <c r="AF20" s="17" t="e">
        <f>0.8876*((0.0278/(1+10^(7.688-(AVERAGE(F63)))))+(1.1994/(1+10^((AVERAGE(F63))-7.688))))*(2.126*10^(0.028*(20-(AVERAGE(F64)))))</f>
        <v>#DIV/0!</v>
      </c>
      <c r="AG20" s="17" t="s">
        <v>173</v>
      </c>
      <c r="AH20" s="17" t="s">
        <v>174</v>
      </c>
      <c r="AK20" s="17" t="s">
        <v>101</v>
      </c>
      <c r="AL20" s="17" t="s">
        <v>105</v>
      </c>
      <c r="AM20" s="17" t="s">
        <v>101</v>
      </c>
      <c r="AN20" s="17" t="s">
        <v>102</v>
      </c>
    </row>
    <row r="21" spans="3:40" ht="17.399999999999999" thickTop="1" x14ac:dyDescent="0.4">
      <c r="C21" s="109">
        <f>C5</f>
        <v>0</v>
      </c>
      <c r="D21" s="153"/>
      <c r="E21" s="339" t="s">
        <v>97</v>
      </c>
      <c r="F21" s="212" t="s">
        <v>116</v>
      </c>
      <c r="G21" s="141" t="s">
        <v>95</v>
      </c>
      <c r="H21" s="279" t="str">
        <f t="shared" ref="H21:H32" si="2">H5</f>
        <v>0-30</v>
      </c>
      <c r="I21" s="212"/>
      <c r="J21" s="212"/>
      <c r="K21" s="220"/>
      <c r="AC21" s="15" t="s">
        <v>170</v>
      </c>
      <c r="AD21" s="15" t="s">
        <v>95</v>
      </c>
      <c r="AG21" s="15" t="s">
        <v>108</v>
      </c>
      <c r="AH21" s="15" t="s">
        <v>175</v>
      </c>
      <c r="AK21" s="15" t="s">
        <v>101</v>
      </c>
      <c r="AL21" s="15" t="s">
        <v>105</v>
      </c>
      <c r="AM21" s="15" t="s">
        <v>100</v>
      </c>
      <c r="AN21" s="15" t="s">
        <v>102</v>
      </c>
    </row>
    <row r="22" spans="3:40" x14ac:dyDescent="0.4">
      <c r="C22" s="132">
        <f>C21</f>
        <v>0</v>
      </c>
      <c r="D22" s="153"/>
      <c r="E22" s="340" t="s">
        <v>97</v>
      </c>
      <c r="F22" s="213" t="s">
        <v>116</v>
      </c>
      <c r="G22" s="142" t="s">
        <v>103</v>
      </c>
      <c r="H22" s="280" t="str">
        <f t="shared" si="2"/>
        <v>31-100</v>
      </c>
      <c r="I22" s="213"/>
      <c r="J22" s="213"/>
      <c r="K22" s="183"/>
      <c r="AC22" s="15" t="s">
        <v>170</v>
      </c>
      <c r="AD22" s="15" t="s">
        <v>95</v>
      </c>
      <c r="AE22" s="15" t="e">
        <f>0.8876*((0.0278/(1+10^(7.688-(AVERAGE(F63)))))+(1.1994/(1+10^((AVERAGE(F63))-7.688))))*(2.126*10^(0.028*(20-(AVERAGE(F64)))))</f>
        <v>#DIV/0!</v>
      </c>
      <c r="AF22" s="15">
        <v>1000000</v>
      </c>
      <c r="AG22" s="15" t="s">
        <v>112</v>
      </c>
      <c r="AH22" s="15" t="s">
        <v>176</v>
      </c>
      <c r="AK22" s="15" t="s">
        <v>101</v>
      </c>
      <c r="AL22" s="15" t="s">
        <v>105</v>
      </c>
      <c r="AM22" s="15" t="s">
        <v>108</v>
      </c>
      <c r="AN22" s="15" t="s">
        <v>102</v>
      </c>
    </row>
    <row r="23" spans="3:40" x14ac:dyDescent="0.4">
      <c r="C23" s="132">
        <f t="shared" ref="C23:C56" si="3">C22</f>
        <v>0</v>
      </c>
      <c r="D23" s="153"/>
      <c r="E23" s="341" t="s">
        <v>97</v>
      </c>
      <c r="F23" s="214" t="s">
        <v>116</v>
      </c>
      <c r="G23" s="143" t="s">
        <v>109</v>
      </c>
      <c r="H23" s="281">
        <f t="shared" si="2"/>
        <v>150</v>
      </c>
      <c r="I23" s="214"/>
      <c r="J23" s="214"/>
      <c r="K23" s="180"/>
      <c r="AC23" s="15" t="s">
        <v>170</v>
      </c>
      <c r="AD23" s="15" t="s">
        <v>103</v>
      </c>
      <c r="AE23" s="15">
        <v>-1000000</v>
      </c>
      <c r="AF23" s="15" t="e">
        <f>0.8876*((0.0278/(1+10^(7.688-(AVERAGE(F67)))))+(1.1994/(1+10^((AVERAGE(F67))-7.688))))*(2.126*10^(0.028*(20-(AVERAGE(F68)))))</f>
        <v>#DIV/0!</v>
      </c>
      <c r="AG23" s="15" t="s">
        <v>173</v>
      </c>
      <c r="AK23" s="15" t="s">
        <v>101</v>
      </c>
      <c r="AL23" s="15" t="s">
        <v>105</v>
      </c>
      <c r="AM23" s="15" t="s">
        <v>105</v>
      </c>
      <c r="AN23" s="15" t="s">
        <v>102</v>
      </c>
    </row>
    <row r="24" spans="3:40" x14ac:dyDescent="0.4">
      <c r="C24" s="132">
        <f t="shared" si="3"/>
        <v>0</v>
      </c>
      <c r="D24" s="153"/>
      <c r="E24" s="340" t="s">
        <v>97</v>
      </c>
      <c r="F24" s="215" t="s">
        <v>117</v>
      </c>
      <c r="G24" s="141" t="s">
        <v>95</v>
      </c>
      <c r="H24" s="287" t="str">
        <f t="shared" si="2"/>
        <v>0-30</v>
      </c>
      <c r="I24" s="215"/>
      <c r="J24" s="215"/>
      <c r="K24" s="220"/>
      <c r="AC24" s="15" t="s">
        <v>170</v>
      </c>
      <c r="AD24" s="15" t="s">
        <v>103</v>
      </c>
      <c r="AG24" s="15" t="s">
        <v>108</v>
      </c>
      <c r="AK24" s="15" t="s">
        <v>101</v>
      </c>
      <c r="AL24" s="15" t="s">
        <v>105</v>
      </c>
      <c r="AM24" s="15" t="s">
        <v>98</v>
      </c>
      <c r="AN24" s="15" t="s">
        <v>102</v>
      </c>
    </row>
    <row r="25" spans="3:40" x14ac:dyDescent="0.4">
      <c r="C25" s="132">
        <f t="shared" si="3"/>
        <v>0</v>
      </c>
      <c r="D25" s="153"/>
      <c r="E25" s="341" t="s">
        <v>97</v>
      </c>
      <c r="F25" s="216" t="s">
        <v>117</v>
      </c>
      <c r="G25" s="142" t="s">
        <v>103</v>
      </c>
      <c r="H25" s="285" t="str">
        <f t="shared" si="2"/>
        <v>31-100</v>
      </c>
      <c r="I25" s="216"/>
      <c r="J25" s="216"/>
      <c r="K25" s="183"/>
      <c r="AC25" s="15" t="s">
        <v>170</v>
      </c>
      <c r="AD25" s="15" t="s">
        <v>103</v>
      </c>
      <c r="AE25" s="15" t="e">
        <f>0.8876*((0.0278/(1+10^(7.688-(AVERAGE(F67)))))+(1.1994/(1+10^((AVERAGE(F67))-7.688))))*(2.126*10^(0.028*(20-(AVERAGE(F68)))))</f>
        <v>#DIV/0!</v>
      </c>
      <c r="AF25" s="15">
        <v>1000000</v>
      </c>
      <c r="AG25" s="15" t="s">
        <v>112</v>
      </c>
      <c r="AK25" s="15" t="s">
        <v>101</v>
      </c>
      <c r="AL25" s="15" t="s">
        <v>98</v>
      </c>
      <c r="AM25" s="15" t="s">
        <v>101</v>
      </c>
      <c r="AN25" s="15" t="s">
        <v>102</v>
      </c>
    </row>
    <row r="26" spans="3:40" x14ac:dyDescent="0.4">
      <c r="C26" s="132">
        <f t="shared" si="3"/>
        <v>0</v>
      </c>
      <c r="D26" s="153"/>
      <c r="E26" s="340" t="s">
        <v>97</v>
      </c>
      <c r="F26" s="213" t="s">
        <v>117</v>
      </c>
      <c r="G26" s="144" t="s">
        <v>109</v>
      </c>
      <c r="H26" s="280">
        <f t="shared" si="2"/>
        <v>150</v>
      </c>
      <c r="I26" s="213"/>
      <c r="J26" s="213"/>
      <c r="K26" s="183"/>
      <c r="AC26" s="15" t="s">
        <v>170</v>
      </c>
      <c r="AD26" s="15" t="s">
        <v>109</v>
      </c>
      <c r="AE26" s="15">
        <v>-1000000</v>
      </c>
      <c r="AF26" s="15" t="e">
        <f>0.8876*((0.0278/(1+10^(7.688-(AVERAGE(F71)))))+(1.1994/(1+10^((AVERAGE(F71))-7.688))))*(2.126*10^(0.028*(20-(AVERAGE(F72)))))</f>
        <v>#DIV/0!</v>
      </c>
      <c r="AG26" s="15" t="s">
        <v>173</v>
      </c>
      <c r="AK26" s="15" t="s">
        <v>101</v>
      </c>
      <c r="AL26" s="15" t="s">
        <v>98</v>
      </c>
      <c r="AM26" s="15" t="s">
        <v>100</v>
      </c>
      <c r="AN26" s="15" t="s">
        <v>102</v>
      </c>
    </row>
    <row r="27" spans="3:40" x14ac:dyDescent="0.4">
      <c r="C27" s="132">
        <f t="shared" si="3"/>
        <v>0</v>
      </c>
      <c r="D27" s="153"/>
      <c r="E27" s="341" t="s">
        <v>97</v>
      </c>
      <c r="F27" s="212" t="s">
        <v>122</v>
      </c>
      <c r="G27" s="141" t="s">
        <v>95</v>
      </c>
      <c r="H27" s="279" t="str">
        <f t="shared" si="2"/>
        <v>0-30</v>
      </c>
      <c r="I27" s="212"/>
      <c r="J27" s="212"/>
      <c r="K27" s="220"/>
      <c r="AC27" s="15" t="s">
        <v>170</v>
      </c>
      <c r="AD27" s="15" t="s">
        <v>109</v>
      </c>
      <c r="AG27" s="15" t="s">
        <v>108</v>
      </c>
      <c r="AK27" s="15" t="s">
        <v>101</v>
      </c>
      <c r="AL27" s="15" t="s">
        <v>98</v>
      </c>
      <c r="AM27" s="15" t="s">
        <v>108</v>
      </c>
      <c r="AN27" s="15" t="s">
        <v>102</v>
      </c>
    </row>
    <row r="28" spans="3:40" x14ac:dyDescent="0.4">
      <c r="C28" s="132">
        <f t="shared" si="3"/>
        <v>0</v>
      </c>
      <c r="D28" s="153"/>
      <c r="E28" s="340" t="s">
        <v>97</v>
      </c>
      <c r="F28" s="213" t="s">
        <v>122</v>
      </c>
      <c r="G28" s="142" t="s">
        <v>103</v>
      </c>
      <c r="H28" s="280" t="str">
        <f t="shared" si="2"/>
        <v>31-100</v>
      </c>
      <c r="I28" s="213"/>
      <c r="J28" s="213"/>
      <c r="K28" s="183"/>
      <c r="AC28" s="15" t="s">
        <v>170</v>
      </c>
      <c r="AD28" s="15" t="s">
        <v>109</v>
      </c>
      <c r="AE28" s="15" t="e">
        <f>0.8876*((0.0278/(1+10^(7.688-(AVERAGE(F71)))))+(1.1994/(1+10^((AVERAGE(F71))-7.688))))*(2.126*10^(0.028*(20-(AVERAGE(F72)))))</f>
        <v>#DIV/0!</v>
      </c>
      <c r="AF28" s="15">
        <v>1000000</v>
      </c>
      <c r="AG28" s="15" t="s">
        <v>112</v>
      </c>
      <c r="AK28" s="15" t="s">
        <v>101</v>
      </c>
      <c r="AL28" s="15" t="s">
        <v>98</v>
      </c>
      <c r="AM28" s="15" t="s">
        <v>105</v>
      </c>
      <c r="AN28" s="15" t="s">
        <v>102</v>
      </c>
    </row>
    <row r="29" spans="3:40" x14ac:dyDescent="0.4">
      <c r="C29" s="132">
        <f t="shared" si="3"/>
        <v>0</v>
      </c>
      <c r="D29" s="153"/>
      <c r="E29" s="341" t="s">
        <v>97</v>
      </c>
      <c r="F29" s="216" t="s">
        <v>122</v>
      </c>
      <c r="G29" s="144" t="s">
        <v>109</v>
      </c>
      <c r="H29" s="285">
        <f t="shared" si="2"/>
        <v>150</v>
      </c>
      <c r="I29" s="216"/>
      <c r="J29" s="216"/>
      <c r="K29" s="183"/>
      <c r="AK29" s="15" t="s">
        <v>101</v>
      </c>
      <c r="AL29" s="15" t="s">
        <v>98</v>
      </c>
      <c r="AM29" s="15" t="s">
        <v>98</v>
      </c>
      <c r="AN29" s="15" t="s">
        <v>102</v>
      </c>
    </row>
    <row r="30" spans="3:40" x14ac:dyDescent="0.4">
      <c r="C30" s="132">
        <f t="shared" si="3"/>
        <v>0</v>
      </c>
      <c r="D30" s="153"/>
      <c r="E30" s="113" t="s">
        <v>171</v>
      </c>
      <c r="F30" s="315" t="s">
        <v>116</v>
      </c>
      <c r="G30" s="141" t="s">
        <v>95</v>
      </c>
      <c r="H30" s="282" t="str">
        <f t="shared" si="2"/>
        <v>0-30</v>
      </c>
      <c r="I30" s="217"/>
      <c r="J30" s="217"/>
      <c r="K30" s="221"/>
      <c r="AK30" s="15" t="s">
        <v>100</v>
      </c>
      <c r="AL30" s="15" t="s">
        <v>101</v>
      </c>
      <c r="AM30" s="15" t="s">
        <v>101</v>
      </c>
      <c r="AN30" s="15" t="s">
        <v>102</v>
      </c>
    </row>
    <row r="31" spans="3:40" x14ac:dyDescent="0.4">
      <c r="C31" s="132">
        <f t="shared" si="3"/>
        <v>0</v>
      </c>
      <c r="D31" s="153"/>
      <c r="E31" s="114" t="s">
        <v>171</v>
      </c>
      <c r="F31" s="231" t="s">
        <v>116</v>
      </c>
      <c r="G31" s="142" t="s">
        <v>103</v>
      </c>
      <c r="H31" s="285" t="str">
        <f t="shared" si="2"/>
        <v>31-100</v>
      </c>
      <c r="I31" s="216"/>
      <c r="J31" s="216"/>
      <c r="K31" s="183"/>
      <c r="AC31" s="39" t="s">
        <v>84</v>
      </c>
      <c r="AD31" s="39" t="s">
        <v>80</v>
      </c>
      <c r="AE31" s="39" t="s">
        <v>177</v>
      </c>
      <c r="AF31" s="15" t="s">
        <v>178</v>
      </c>
      <c r="AG31" s="39" t="s">
        <v>179</v>
      </c>
      <c r="AH31" s="39" t="s">
        <v>180</v>
      </c>
      <c r="AI31" s="39" t="s">
        <v>56</v>
      </c>
      <c r="AK31" s="15" t="s">
        <v>100</v>
      </c>
      <c r="AL31" s="15" t="s">
        <v>101</v>
      </c>
      <c r="AM31" s="15" t="s">
        <v>100</v>
      </c>
      <c r="AN31" s="15" t="s">
        <v>102</v>
      </c>
    </row>
    <row r="32" spans="3:40" x14ac:dyDescent="0.4">
      <c r="C32" s="132">
        <f t="shared" si="3"/>
        <v>0</v>
      </c>
      <c r="D32" s="153"/>
      <c r="E32" s="114" t="s">
        <v>171</v>
      </c>
      <c r="F32" s="230" t="s">
        <v>116</v>
      </c>
      <c r="G32" s="144" t="s">
        <v>109</v>
      </c>
      <c r="H32" s="280">
        <f t="shared" si="2"/>
        <v>150</v>
      </c>
      <c r="I32" s="213"/>
      <c r="J32" s="213"/>
      <c r="K32" s="183"/>
      <c r="AC32" s="15" t="s">
        <v>170</v>
      </c>
      <c r="AD32" s="15" t="s">
        <v>95</v>
      </c>
      <c r="AE32" s="15" t="e">
        <f>0.8876*((0.0278/(1+10^(7.688-(AVERAGE(F63)))))+(1.1994/(1+10^((AVERAGE(F63))-7.688))))*(2.126*10^(0.028*(20-(AVERAGE(F64)))))</f>
        <v>#DIV/0!</v>
      </c>
      <c r="AI32" s="15" t="s">
        <v>181</v>
      </c>
      <c r="AK32" s="15" t="s">
        <v>100</v>
      </c>
      <c r="AL32" s="15" t="s">
        <v>101</v>
      </c>
      <c r="AM32" s="15" t="s">
        <v>108</v>
      </c>
      <c r="AN32" s="15" t="s">
        <v>102</v>
      </c>
    </row>
    <row r="33" spans="3:40" x14ac:dyDescent="0.4">
      <c r="C33" s="132">
        <f t="shared" si="3"/>
        <v>0</v>
      </c>
      <c r="D33" s="153"/>
      <c r="E33" s="114" t="s">
        <v>171</v>
      </c>
      <c r="F33" s="289" t="s">
        <v>117</v>
      </c>
      <c r="G33" s="295" t="s">
        <v>95</v>
      </c>
      <c r="H33" s="291" t="str">
        <f t="shared" ref="H33:H44" si="4">H5</f>
        <v>0-30</v>
      </c>
      <c r="I33" s="289"/>
      <c r="J33" s="212"/>
      <c r="K33" s="221"/>
      <c r="AC33" s="15" t="s">
        <v>170</v>
      </c>
      <c r="AD33" s="15" t="s">
        <v>103</v>
      </c>
      <c r="AE33" s="15" t="e">
        <f>0.8876*((0.0278/(1+10^(7.688-(AVERAGE(F67)))))+(1.1994/(1+10^((AVERAGE(F67))-7.688))))*(2.126*10^(0.028*(20-(AVERAGE(F68)))))</f>
        <v>#DIV/0!</v>
      </c>
      <c r="AK33" s="15" t="s">
        <v>100</v>
      </c>
      <c r="AL33" s="15" t="s">
        <v>101</v>
      </c>
      <c r="AM33" s="15" t="s">
        <v>105</v>
      </c>
      <c r="AN33" s="15" t="s">
        <v>102</v>
      </c>
    </row>
    <row r="34" spans="3:40" x14ac:dyDescent="0.4">
      <c r="C34" s="132">
        <f t="shared" si="3"/>
        <v>0</v>
      </c>
      <c r="D34" s="153"/>
      <c r="E34" s="114" t="s">
        <v>171</v>
      </c>
      <c r="F34" s="294" t="s">
        <v>117</v>
      </c>
      <c r="G34" s="201" t="s">
        <v>103</v>
      </c>
      <c r="H34" s="292" t="str">
        <f t="shared" si="4"/>
        <v>31-100</v>
      </c>
      <c r="I34" s="230"/>
      <c r="J34" s="213"/>
      <c r="K34" s="183"/>
      <c r="AC34" s="15" t="s">
        <v>170</v>
      </c>
      <c r="AD34" s="15" t="s">
        <v>109</v>
      </c>
      <c r="AE34" s="15" t="e">
        <f>0.8876*((0.0278/(1+10^(7.688-(AVERAGE(F71)))))+(1.1994/(1+10^((AVERAGE(F71))-7.688))))*(2.126*10^(0.028*(20-(AVERAGE(F72)))))</f>
        <v>#DIV/0!</v>
      </c>
      <c r="AK34" s="15" t="s">
        <v>100</v>
      </c>
      <c r="AL34" s="15" t="s">
        <v>101</v>
      </c>
      <c r="AM34" s="15" t="s">
        <v>98</v>
      </c>
      <c r="AN34" s="15" t="s">
        <v>102</v>
      </c>
    </row>
    <row r="35" spans="3:40" x14ac:dyDescent="0.4">
      <c r="C35" s="132">
        <f t="shared" si="3"/>
        <v>0</v>
      </c>
      <c r="D35" s="153"/>
      <c r="E35" s="114" t="s">
        <v>171</v>
      </c>
      <c r="F35" s="316" t="s">
        <v>117</v>
      </c>
      <c r="G35" s="203" t="s">
        <v>109</v>
      </c>
      <c r="H35" s="293">
        <f t="shared" si="4"/>
        <v>150</v>
      </c>
      <c r="I35" s="290"/>
      <c r="J35" s="214"/>
      <c r="K35" s="180"/>
      <c r="AK35" s="15" t="s">
        <v>100</v>
      </c>
      <c r="AL35" s="15" t="s">
        <v>100</v>
      </c>
      <c r="AM35" s="15" t="s">
        <v>101</v>
      </c>
      <c r="AN35" s="15" t="s">
        <v>102</v>
      </c>
    </row>
    <row r="36" spans="3:40" x14ac:dyDescent="0.4">
      <c r="C36" s="132">
        <f t="shared" si="3"/>
        <v>0</v>
      </c>
      <c r="D36" s="153"/>
      <c r="E36" s="114" t="s">
        <v>171</v>
      </c>
      <c r="F36" s="294" t="s">
        <v>122</v>
      </c>
      <c r="G36" s="145" t="s">
        <v>95</v>
      </c>
      <c r="H36" s="284" t="str">
        <f t="shared" si="4"/>
        <v>0-30</v>
      </c>
      <c r="I36" s="223"/>
      <c r="J36" s="223"/>
      <c r="K36" s="222"/>
      <c r="AK36" s="15" t="s">
        <v>100</v>
      </c>
      <c r="AL36" s="15" t="s">
        <v>100</v>
      </c>
      <c r="AM36" s="15" t="s">
        <v>100</v>
      </c>
      <c r="AN36" s="15" t="s">
        <v>102</v>
      </c>
    </row>
    <row r="37" spans="3:40" x14ac:dyDescent="0.4">
      <c r="C37" s="132">
        <f t="shared" si="3"/>
        <v>0</v>
      </c>
      <c r="D37" s="153"/>
      <c r="E37" s="114" t="s">
        <v>171</v>
      </c>
      <c r="F37" s="231" t="s">
        <v>122</v>
      </c>
      <c r="G37" s="142" t="s">
        <v>103</v>
      </c>
      <c r="H37" s="285" t="str">
        <f t="shared" si="4"/>
        <v>31-100</v>
      </c>
      <c r="I37" s="216"/>
      <c r="J37" s="216"/>
      <c r="K37" s="183"/>
      <c r="AK37" s="15" t="s">
        <v>100</v>
      </c>
      <c r="AL37" s="15" t="s">
        <v>100</v>
      </c>
      <c r="AM37" s="15" t="s">
        <v>108</v>
      </c>
      <c r="AN37" s="15" t="s">
        <v>102</v>
      </c>
    </row>
    <row r="38" spans="3:40" x14ac:dyDescent="0.4">
      <c r="C38" s="132">
        <f t="shared" si="3"/>
        <v>0</v>
      </c>
      <c r="D38" s="153"/>
      <c r="E38" s="115" t="s">
        <v>171</v>
      </c>
      <c r="F38" s="317" t="s">
        <v>122</v>
      </c>
      <c r="G38" s="143" t="s">
        <v>109</v>
      </c>
      <c r="H38" s="286">
        <f t="shared" si="4"/>
        <v>150</v>
      </c>
      <c r="I38" s="218"/>
      <c r="J38" s="218"/>
      <c r="K38" s="180"/>
      <c r="AC38" s="18" t="s">
        <v>118</v>
      </c>
      <c r="AK38" s="15" t="s">
        <v>100</v>
      </c>
      <c r="AL38" s="15" t="s">
        <v>100</v>
      </c>
      <c r="AM38" s="15" t="s">
        <v>105</v>
      </c>
      <c r="AN38" s="15" t="s">
        <v>102</v>
      </c>
    </row>
    <row r="39" spans="3:40" x14ac:dyDescent="0.4">
      <c r="C39" s="132">
        <f t="shared" si="3"/>
        <v>0</v>
      </c>
      <c r="D39" s="153"/>
      <c r="E39" s="119" t="s">
        <v>170</v>
      </c>
      <c r="F39" s="219" t="s">
        <v>116</v>
      </c>
      <c r="G39" s="145" t="s">
        <v>95</v>
      </c>
      <c r="H39" s="288" t="str">
        <f t="shared" si="4"/>
        <v>0-30</v>
      </c>
      <c r="I39" s="219"/>
      <c r="J39" s="219"/>
      <c r="K39" s="222"/>
      <c r="AK39" s="15" t="s">
        <v>100</v>
      </c>
      <c r="AL39" s="15" t="s">
        <v>100</v>
      </c>
      <c r="AM39" s="15" t="s">
        <v>98</v>
      </c>
      <c r="AN39" s="15" t="s">
        <v>102</v>
      </c>
    </row>
    <row r="40" spans="3:40" x14ac:dyDescent="0.4">
      <c r="C40" s="132">
        <f t="shared" si="3"/>
        <v>0</v>
      </c>
      <c r="D40" s="153"/>
      <c r="E40" s="146" t="s">
        <v>170</v>
      </c>
      <c r="F40" s="213" t="s">
        <v>116</v>
      </c>
      <c r="G40" s="142" t="s">
        <v>103</v>
      </c>
      <c r="H40" s="280" t="str">
        <f t="shared" si="4"/>
        <v>31-100</v>
      </c>
      <c r="I40" s="213"/>
      <c r="J40" s="213"/>
      <c r="K40" s="183"/>
      <c r="AC40" s="15" t="s">
        <v>87</v>
      </c>
      <c r="AD40" s="82" t="s">
        <v>119</v>
      </c>
      <c r="AE40" s="15" t="s">
        <v>120</v>
      </c>
      <c r="AF40" s="15" t="s">
        <v>121</v>
      </c>
      <c r="AG40" s="15" t="s">
        <v>56</v>
      </c>
      <c r="AK40" s="15" t="s">
        <v>100</v>
      </c>
      <c r="AL40" s="15" t="s">
        <v>108</v>
      </c>
      <c r="AM40" s="15" t="s">
        <v>101</v>
      </c>
      <c r="AN40" s="15" t="s">
        <v>102</v>
      </c>
    </row>
    <row r="41" spans="3:40" x14ac:dyDescent="0.4">
      <c r="C41" s="132">
        <f t="shared" si="3"/>
        <v>0</v>
      </c>
      <c r="D41" s="153"/>
      <c r="E41" s="133" t="s">
        <v>170</v>
      </c>
      <c r="F41" s="214" t="s">
        <v>116</v>
      </c>
      <c r="G41" s="143" t="s">
        <v>109</v>
      </c>
      <c r="H41" s="281">
        <f t="shared" si="4"/>
        <v>150</v>
      </c>
      <c r="I41" s="214"/>
      <c r="J41" s="214"/>
      <c r="K41" s="180"/>
      <c r="AC41" s="15" t="s">
        <v>101</v>
      </c>
      <c r="AD41" s="15">
        <v>4.0000099999999996</v>
      </c>
      <c r="AE41" s="15">
        <v>6</v>
      </c>
      <c r="AF41" s="42">
        <v>5</v>
      </c>
      <c r="AG41" s="15" t="s">
        <v>99</v>
      </c>
      <c r="AK41" s="15" t="s">
        <v>100</v>
      </c>
      <c r="AL41" s="15" t="s">
        <v>108</v>
      </c>
      <c r="AM41" s="15" t="s">
        <v>100</v>
      </c>
      <c r="AN41" s="15" t="s">
        <v>102</v>
      </c>
    </row>
    <row r="42" spans="3:40" x14ac:dyDescent="0.4">
      <c r="C42" s="132">
        <f t="shared" si="3"/>
        <v>0</v>
      </c>
      <c r="D42" s="153"/>
      <c r="E42" s="146" t="s">
        <v>170</v>
      </c>
      <c r="F42" s="223" t="s">
        <v>117</v>
      </c>
      <c r="G42" s="145" t="s">
        <v>95</v>
      </c>
      <c r="H42" s="284" t="str">
        <f t="shared" si="4"/>
        <v>0-30</v>
      </c>
      <c r="I42" s="223"/>
      <c r="J42" s="223"/>
      <c r="K42" s="222"/>
      <c r="AC42" s="15" t="s">
        <v>100</v>
      </c>
      <c r="AD42" s="15">
        <v>3.1</v>
      </c>
      <c r="AE42" s="15">
        <v>4.0000099999999996</v>
      </c>
      <c r="AF42" s="42">
        <v>4</v>
      </c>
      <c r="AK42" s="15" t="s">
        <v>100</v>
      </c>
      <c r="AL42" s="15" t="s">
        <v>108</v>
      </c>
      <c r="AM42" s="15" t="s">
        <v>108</v>
      </c>
      <c r="AN42" s="15" t="s">
        <v>102</v>
      </c>
    </row>
    <row r="43" spans="3:40" x14ac:dyDescent="0.4">
      <c r="C43" s="132">
        <f t="shared" si="3"/>
        <v>0</v>
      </c>
      <c r="D43" s="153"/>
      <c r="E43" s="133" t="s">
        <v>170</v>
      </c>
      <c r="F43" s="216" t="s">
        <v>117</v>
      </c>
      <c r="G43" s="142" t="s">
        <v>103</v>
      </c>
      <c r="H43" s="285" t="str">
        <f t="shared" si="4"/>
        <v>31-100</v>
      </c>
      <c r="I43" s="216"/>
      <c r="J43" s="216"/>
      <c r="K43" s="183"/>
      <c r="AC43" s="15" t="s">
        <v>108</v>
      </c>
      <c r="AD43" s="15">
        <v>2.1</v>
      </c>
      <c r="AE43" s="15">
        <v>3.09999</v>
      </c>
      <c r="AF43" s="42">
        <v>3</v>
      </c>
      <c r="AK43" s="15" t="s">
        <v>100</v>
      </c>
      <c r="AL43" s="15" t="s">
        <v>108</v>
      </c>
      <c r="AM43" s="15" t="s">
        <v>105</v>
      </c>
      <c r="AN43" s="15" t="s">
        <v>102</v>
      </c>
    </row>
    <row r="44" spans="3:40" x14ac:dyDescent="0.4">
      <c r="C44" s="132">
        <f t="shared" si="3"/>
        <v>0</v>
      </c>
      <c r="D44" s="153"/>
      <c r="E44" s="146" t="s">
        <v>170</v>
      </c>
      <c r="F44" s="218" t="s">
        <v>117</v>
      </c>
      <c r="G44" s="143" t="s">
        <v>109</v>
      </c>
      <c r="H44" s="286">
        <f t="shared" si="4"/>
        <v>150</v>
      </c>
      <c r="I44" s="218"/>
      <c r="J44" s="218"/>
      <c r="K44" s="180"/>
      <c r="AC44" s="15" t="s">
        <v>105</v>
      </c>
      <c r="AD44" s="15">
        <v>1.1000000000000001</v>
      </c>
      <c r="AE44" s="15">
        <v>2.09999</v>
      </c>
      <c r="AF44" s="42">
        <v>2</v>
      </c>
      <c r="AK44" s="15" t="s">
        <v>100</v>
      </c>
      <c r="AL44" s="15" t="s">
        <v>108</v>
      </c>
      <c r="AM44" s="15" t="s">
        <v>98</v>
      </c>
      <c r="AN44" s="15" t="s">
        <v>102</v>
      </c>
    </row>
    <row r="45" spans="3:40" x14ac:dyDescent="0.4">
      <c r="C45" s="132">
        <f t="shared" si="3"/>
        <v>0</v>
      </c>
      <c r="D45" s="153"/>
      <c r="E45" s="133" t="s">
        <v>170</v>
      </c>
      <c r="F45" s="212" t="s">
        <v>122</v>
      </c>
      <c r="G45" s="141" t="s">
        <v>95</v>
      </c>
      <c r="H45" s="279" t="str">
        <f t="shared" ref="H45:H56" si="5">H5</f>
        <v>0-30</v>
      </c>
      <c r="I45" s="212"/>
      <c r="J45" s="212"/>
      <c r="K45" s="221"/>
      <c r="AC45" s="15" t="s">
        <v>98</v>
      </c>
      <c r="AD45" s="15">
        <v>0</v>
      </c>
      <c r="AE45" s="15">
        <v>1.09999</v>
      </c>
      <c r="AF45" s="42">
        <v>1</v>
      </c>
      <c r="AG45" s="15" t="s">
        <v>123</v>
      </c>
      <c r="AK45" s="15" t="s">
        <v>100</v>
      </c>
      <c r="AL45" s="15" t="s">
        <v>105</v>
      </c>
      <c r="AM45" s="15" t="s">
        <v>101</v>
      </c>
      <c r="AN45" s="15" t="s">
        <v>102</v>
      </c>
    </row>
    <row r="46" spans="3:40" x14ac:dyDescent="0.4">
      <c r="C46" s="132">
        <f t="shared" si="3"/>
        <v>0</v>
      </c>
      <c r="D46" s="153"/>
      <c r="E46" s="146" t="s">
        <v>170</v>
      </c>
      <c r="F46" s="213" t="s">
        <v>122</v>
      </c>
      <c r="G46" s="142" t="s">
        <v>103</v>
      </c>
      <c r="H46" s="280" t="str">
        <f t="shared" si="5"/>
        <v>31-100</v>
      </c>
      <c r="I46" s="213"/>
      <c r="J46" s="213"/>
      <c r="K46" s="183"/>
      <c r="AK46" s="15" t="s">
        <v>100</v>
      </c>
      <c r="AL46" s="15" t="s">
        <v>105</v>
      </c>
      <c r="AM46" s="15" t="s">
        <v>100</v>
      </c>
      <c r="AN46" s="15" t="s">
        <v>102</v>
      </c>
    </row>
    <row r="47" spans="3:40" x14ac:dyDescent="0.4">
      <c r="C47" s="132">
        <f t="shared" si="3"/>
        <v>0</v>
      </c>
      <c r="D47" s="153"/>
      <c r="E47" s="134" t="s">
        <v>170</v>
      </c>
      <c r="F47" s="214" t="s">
        <v>122</v>
      </c>
      <c r="G47" s="143" t="s">
        <v>109</v>
      </c>
      <c r="H47" s="281">
        <f t="shared" si="5"/>
        <v>150</v>
      </c>
      <c r="I47" s="214"/>
      <c r="J47" s="214"/>
      <c r="K47" s="180"/>
      <c r="AK47" s="15" t="s">
        <v>100</v>
      </c>
      <c r="AL47" s="15" t="s">
        <v>105</v>
      </c>
      <c r="AM47" s="15" t="s">
        <v>108</v>
      </c>
      <c r="AN47" s="15" t="s">
        <v>102</v>
      </c>
    </row>
    <row r="48" spans="3:40" x14ac:dyDescent="0.4">
      <c r="C48" s="132">
        <f t="shared" si="3"/>
        <v>0</v>
      </c>
      <c r="D48" s="153"/>
      <c r="E48" s="116" t="s">
        <v>172</v>
      </c>
      <c r="F48" s="215" t="s">
        <v>116</v>
      </c>
      <c r="G48" s="141" t="s">
        <v>95</v>
      </c>
      <c r="H48" s="287" t="str">
        <f t="shared" si="5"/>
        <v>0-30</v>
      </c>
      <c r="I48" s="215"/>
      <c r="J48" s="215"/>
      <c r="K48" s="221"/>
      <c r="AK48" s="15" t="s">
        <v>100</v>
      </c>
      <c r="AL48" s="15" t="s">
        <v>105</v>
      </c>
      <c r="AM48" s="15" t="s">
        <v>105</v>
      </c>
      <c r="AN48" s="15" t="s">
        <v>102</v>
      </c>
    </row>
    <row r="49" spans="1:40" x14ac:dyDescent="0.4">
      <c r="C49" s="132">
        <f t="shared" si="3"/>
        <v>0</v>
      </c>
      <c r="D49" s="153"/>
      <c r="E49" s="133" t="s">
        <v>172</v>
      </c>
      <c r="F49" s="216" t="s">
        <v>116</v>
      </c>
      <c r="G49" s="142" t="s">
        <v>103</v>
      </c>
      <c r="H49" s="285" t="str">
        <f t="shared" si="5"/>
        <v>31-100</v>
      </c>
      <c r="I49" s="216"/>
      <c r="J49" s="216"/>
      <c r="K49" s="183"/>
      <c r="AK49" s="15" t="s">
        <v>100</v>
      </c>
      <c r="AL49" s="15" t="s">
        <v>105</v>
      </c>
      <c r="AM49" s="15" t="s">
        <v>98</v>
      </c>
      <c r="AN49" s="15" t="s">
        <v>102</v>
      </c>
    </row>
    <row r="50" spans="1:40" x14ac:dyDescent="0.4">
      <c r="C50" s="132">
        <f t="shared" si="3"/>
        <v>0</v>
      </c>
      <c r="D50" s="153"/>
      <c r="E50" s="133" t="s">
        <v>172</v>
      </c>
      <c r="F50" s="213" t="s">
        <v>116</v>
      </c>
      <c r="G50" s="144" t="s">
        <v>109</v>
      </c>
      <c r="H50" s="280">
        <f t="shared" si="5"/>
        <v>150</v>
      </c>
      <c r="I50" s="213"/>
      <c r="J50" s="213"/>
      <c r="K50" s="183"/>
      <c r="AK50" s="15" t="s">
        <v>100</v>
      </c>
      <c r="AL50" s="15" t="s">
        <v>98</v>
      </c>
      <c r="AM50" s="15" t="s">
        <v>101</v>
      </c>
      <c r="AN50" s="15" t="s">
        <v>102</v>
      </c>
    </row>
    <row r="51" spans="1:40" x14ac:dyDescent="0.4">
      <c r="C51" s="132">
        <f t="shared" si="3"/>
        <v>0</v>
      </c>
      <c r="D51" s="153"/>
      <c r="E51" s="133" t="s">
        <v>172</v>
      </c>
      <c r="F51" s="212" t="s">
        <v>117</v>
      </c>
      <c r="G51" s="141" t="s">
        <v>95</v>
      </c>
      <c r="H51" s="279" t="str">
        <f t="shared" si="5"/>
        <v>0-30</v>
      </c>
      <c r="I51" s="212"/>
      <c r="J51" s="212"/>
      <c r="K51" s="221"/>
      <c r="AK51" s="15" t="s">
        <v>100</v>
      </c>
      <c r="AL51" s="15" t="s">
        <v>98</v>
      </c>
      <c r="AM51" s="15" t="s">
        <v>100</v>
      </c>
      <c r="AN51" s="15" t="s">
        <v>102</v>
      </c>
    </row>
    <row r="52" spans="1:40" x14ac:dyDescent="0.4">
      <c r="C52" s="132">
        <f t="shared" si="3"/>
        <v>0</v>
      </c>
      <c r="D52" s="153"/>
      <c r="E52" s="133" t="s">
        <v>172</v>
      </c>
      <c r="F52" s="213" t="s">
        <v>117</v>
      </c>
      <c r="G52" s="142" t="s">
        <v>103</v>
      </c>
      <c r="H52" s="280" t="str">
        <f t="shared" si="5"/>
        <v>31-100</v>
      </c>
      <c r="I52" s="213"/>
      <c r="J52" s="213"/>
      <c r="K52" s="183"/>
      <c r="AK52" s="15" t="s">
        <v>100</v>
      </c>
      <c r="AL52" s="15" t="s">
        <v>98</v>
      </c>
      <c r="AM52" s="15" t="s">
        <v>108</v>
      </c>
      <c r="AN52" s="15" t="s">
        <v>102</v>
      </c>
    </row>
    <row r="53" spans="1:40" x14ac:dyDescent="0.4">
      <c r="C53" s="132">
        <f t="shared" si="3"/>
        <v>0</v>
      </c>
      <c r="D53" s="153"/>
      <c r="E53" s="133" t="s">
        <v>172</v>
      </c>
      <c r="F53" s="214" t="s">
        <v>117</v>
      </c>
      <c r="G53" s="143" t="s">
        <v>109</v>
      </c>
      <c r="H53" s="281">
        <f t="shared" si="5"/>
        <v>150</v>
      </c>
      <c r="I53" s="214"/>
      <c r="J53" s="214"/>
      <c r="K53" s="180"/>
      <c r="AK53" s="15" t="s">
        <v>100</v>
      </c>
      <c r="AL53" s="15" t="s">
        <v>98</v>
      </c>
      <c r="AM53" s="15" t="s">
        <v>105</v>
      </c>
      <c r="AN53" s="15" t="s">
        <v>102</v>
      </c>
    </row>
    <row r="54" spans="1:40" x14ac:dyDescent="0.4">
      <c r="C54" s="132">
        <f t="shared" si="3"/>
        <v>0</v>
      </c>
      <c r="D54" s="153"/>
      <c r="E54" s="133" t="s">
        <v>172</v>
      </c>
      <c r="F54" s="223" t="s">
        <v>122</v>
      </c>
      <c r="G54" s="145" t="s">
        <v>95</v>
      </c>
      <c r="H54" s="284" t="str">
        <f t="shared" si="5"/>
        <v>0-30</v>
      </c>
      <c r="I54" s="223"/>
      <c r="J54" s="223"/>
      <c r="K54" s="222"/>
      <c r="AK54" s="15" t="s">
        <v>100</v>
      </c>
      <c r="AL54" s="15" t="s">
        <v>98</v>
      </c>
      <c r="AM54" s="15" t="s">
        <v>98</v>
      </c>
      <c r="AN54" s="15" t="s">
        <v>102</v>
      </c>
    </row>
    <row r="55" spans="1:40" x14ac:dyDescent="0.4">
      <c r="A55" s="84"/>
      <c r="C55" s="132">
        <f t="shared" si="3"/>
        <v>0</v>
      </c>
      <c r="D55" s="153"/>
      <c r="E55" s="133" t="s">
        <v>172</v>
      </c>
      <c r="F55" s="216" t="s">
        <v>122</v>
      </c>
      <c r="G55" s="142" t="s">
        <v>103</v>
      </c>
      <c r="H55" s="285" t="str">
        <f t="shared" si="5"/>
        <v>31-100</v>
      </c>
      <c r="I55" s="216"/>
      <c r="J55" s="216"/>
      <c r="K55" s="183"/>
      <c r="AK55" s="15" t="s">
        <v>108</v>
      </c>
      <c r="AL55" s="15" t="s">
        <v>101</v>
      </c>
      <c r="AM55" s="15" t="s">
        <v>101</v>
      </c>
      <c r="AN55" s="15" t="s">
        <v>102</v>
      </c>
    </row>
    <row r="56" spans="1:40" x14ac:dyDescent="0.4">
      <c r="A56" s="84"/>
      <c r="C56" s="132">
        <f t="shared" si="3"/>
        <v>0</v>
      </c>
      <c r="D56" s="153"/>
      <c r="E56" s="134" t="s">
        <v>172</v>
      </c>
      <c r="F56" s="218" t="s">
        <v>122</v>
      </c>
      <c r="G56" s="143" t="s">
        <v>109</v>
      </c>
      <c r="H56" s="286">
        <f t="shared" si="5"/>
        <v>150</v>
      </c>
      <c r="I56" s="218"/>
      <c r="J56" s="218"/>
      <c r="K56" s="180"/>
      <c r="AK56" s="15" t="s">
        <v>108</v>
      </c>
      <c r="AL56" s="15" t="s">
        <v>101</v>
      </c>
      <c r="AM56" s="15" t="s">
        <v>100</v>
      </c>
      <c r="AN56" s="15" t="s">
        <v>102</v>
      </c>
    </row>
    <row r="57" spans="1:40" x14ac:dyDescent="0.4">
      <c r="A57" s="84"/>
      <c r="AK57" s="15" t="s">
        <v>108</v>
      </c>
      <c r="AL57" s="15" t="s">
        <v>101</v>
      </c>
      <c r="AM57" s="15" t="s">
        <v>108</v>
      </c>
      <c r="AN57" s="15" t="s">
        <v>102</v>
      </c>
    </row>
    <row r="58" spans="1:40" x14ac:dyDescent="0.4">
      <c r="A58" s="84"/>
      <c r="D58" s="18" t="s">
        <v>1929</v>
      </c>
      <c r="F58" s="40"/>
      <c r="G58" s="40"/>
      <c r="AK58" s="15" t="s">
        <v>108</v>
      </c>
      <c r="AL58" s="15" t="s">
        <v>101</v>
      </c>
      <c r="AM58" s="15" t="s">
        <v>105</v>
      </c>
      <c r="AN58" s="15" t="s">
        <v>102</v>
      </c>
    </row>
    <row r="59" spans="1:40" hidden="1" x14ac:dyDescent="0.4">
      <c r="A59" s="84"/>
      <c r="C59" s="15">
        <v>7.21</v>
      </c>
      <c r="D59" s="15">
        <v>7.22</v>
      </c>
      <c r="E59" s="15">
        <v>7.23</v>
      </c>
      <c r="F59" s="15">
        <v>7.24</v>
      </c>
      <c r="G59" s="15">
        <v>7.25</v>
      </c>
      <c r="H59" s="15">
        <v>7.26</v>
      </c>
      <c r="I59" s="15">
        <v>7.27</v>
      </c>
      <c r="AK59" s="15" t="s">
        <v>108</v>
      </c>
      <c r="AL59" s="15" t="s">
        <v>101</v>
      </c>
      <c r="AM59" s="15" t="s">
        <v>98</v>
      </c>
      <c r="AN59" s="15" t="s">
        <v>102</v>
      </c>
    </row>
    <row r="60" spans="1:40" ht="33.6" x14ac:dyDescent="0.4">
      <c r="A60" s="84"/>
      <c r="C60" s="59" t="s">
        <v>44</v>
      </c>
      <c r="D60" s="59" t="s">
        <v>115</v>
      </c>
      <c r="E60" s="59" t="s">
        <v>80</v>
      </c>
      <c r="F60" s="59" t="s">
        <v>124</v>
      </c>
      <c r="G60" s="59" t="s">
        <v>182</v>
      </c>
      <c r="H60" s="59" t="s">
        <v>125</v>
      </c>
      <c r="I60" s="59" t="s">
        <v>126</v>
      </c>
      <c r="AK60" s="15" t="s">
        <v>108</v>
      </c>
      <c r="AL60" s="15" t="s">
        <v>100</v>
      </c>
      <c r="AM60" s="15" t="s">
        <v>101</v>
      </c>
      <c r="AN60" s="15" t="s">
        <v>102</v>
      </c>
    </row>
    <row r="61" spans="1:40" x14ac:dyDescent="0.4">
      <c r="A61" s="84"/>
      <c r="C61" s="75">
        <f>C5</f>
        <v>0</v>
      </c>
      <c r="D61" s="75" t="str">
        <f>E5</f>
        <v>Redox potential (EhNHE)</v>
      </c>
      <c r="E61" s="75" t="str">
        <f>G5</f>
        <v>Sampling zone 1</v>
      </c>
      <c r="F61" s="160" t="str">
        <f>IFERROR(AVERAGE(I5:J5,I27:J27,I21:J21,I24:J24), "")</f>
        <v/>
      </c>
      <c r="G61" s="204" t="s">
        <v>183</v>
      </c>
      <c r="H61" s="206" t="str" cm="1">
        <f t="array" ref="H61">IFERROR(INDEX('Benthic - L&amp;R Level 1 &amp; 2'!$AG$5:$AG$28, MATCH(1, ('Benthic - L&amp;R Level 1 &amp; 2'!$D61='Benthic - L&amp;R Level 1 &amp; 2'!$AC$5:$AC$28)*('Benthic - L&amp;R Level 1 &amp; 2'!$F61&gt;='Benthic - L&amp;R Level 1 &amp; 2'!$AE$5:$AE$28)*('Benthic - L&amp;R Level 1 &amp; 2'!$F61&lt;AF5:AF28),0)), "")</f>
        <v/>
      </c>
      <c r="I61" s="204" t="str" cm="1">
        <f t="array" ref="I61">IFERROR(_xlfn.IFS(Table16[[#This Row],[EQS category]]="Bad",5,Table16[[#This Row],[EQS category]]="Poor/Bad",5, Table16[[#This Row],[EQS category]]="Poor",4, Table16[[#This Row],[EQS category]]="Moderate",3, Table16[[#This Row],[EQS category]]="Good",2,Table16[[#This Row],[EQS category]]="Good/High",1, Table16[[#This Row],[EQS category]]="High",1), "")</f>
        <v/>
      </c>
      <c r="AK61" s="15" t="s">
        <v>108</v>
      </c>
      <c r="AL61" s="15" t="s">
        <v>100</v>
      </c>
      <c r="AM61" s="15" t="s">
        <v>100</v>
      </c>
      <c r="AN61" s="15" t="s">
        <v>102</v>
      </c>
    </row>
    <row r="62" spans="1:40" x14ac:dyDescent="0.4">
      <c r="A62" s="84"/>
      <c r="C62" s="75">
        <f>C21</f>
        <v>0</v>
      </c>
      <c r="D62" s="75" t="str">
        <f>E8</f>
        <v xml:space="preserve">TAN (mg/L) </v>
      </c>
      <c r="E62" s="75" t="str">
        <f>G11</f>
        <v>Sampling zone 1</v>
      </c>
      <c r="F62" s="160" t="str">
        <f>IFERROR(AVERAGE(I8:J8,I45:J45,I39:J39,I42:J42), "")</f>
        <v/>
      </c>
      <c r="G62" s="205" t="str">
        <f>IFERROR(AE32, "")</f>
        <v/>
      </c>
      <c r="H62" s="206" t="str" cm="1">
        <f t="array" ref="H62">IFERROR(_xlfn.IFS(Table16[[#This Row],[Avg. indicator value]]&gt;AE32, "Poor/Bad", Table16[[#This Row],[Avg. indicator value]]=AE32, "Moderate", Table16[[#This Row],[Avg. indicator value]]&lt;AE32, "High/Good"), "")</f>
        <v/>
      </c>
      <c r="I62" s="204" t="str" cm="1">
        <f t="array" ref="I62">IFERROR(_xlfn.IFS(Table16[[#This Row],[EQS category]]="Bad",5,Table16[[#This Row],[EQS category]]="Poor/Bad",5, Table16[[#This Row],[EQS category]]="Poor",4, Table16[[#This Row],[EQS category]]="Moderate",3, Table16[[#This Row],[EQS category]]="Good",2,Table16[[#This Row],[EQS category]]="High/Good",1, Table16[[#This Row],[EQS category]]="High",1), "")</f>
        <v/>
      </c>
      <c r="AK62" s="15" t="s">
        <v>108</v>
      </c>
      <c r="AL62" s="15" t="s">
        <v>100</v>
      </c>
      <c r="AM62" s="15" t="s">
        <v>108</v>
      </c>
      <c r="AN62" s="15" t="s">
        <v>102</v>
      </c>
    </row>
    <row r="63" spans="1:40" x14ac:dyDescent="0.4">
      <c r="A63" s="84"/>
      <c r="C63" s="75">
        <f>C24</f>
        <v>0</v>
      </c>
      <c r="D63" s="75" t="str">
        <f>E11</f>
        <v>pH</v>
      </c>
      <c r="E63" s="75" t="str">
        <f>G8</f>
        <v>Sampling zone 1</v>
      </c>
      <c r="F63" s="160" t="str">
        <f>IFERROR(AVERAGE(I11:J11,I30:J30,I36:J36,I33:J33), "")</f>
        <v/>
      </c>
      <c r="G63" s="204" t="s">
        <v>183</v>
      </c>
      <c r="H63" s="206" t="s">
        <v>183</v>
      </c>
      <c r="I63" s="204" t="s">
        <v>183</v>
      </c>
      <c r="AK63" s="15" t="s">
        <v>108</v>
      </c>
      <c r="AL63" s="15" t="s">
        <v>100</v>
      </c>
      <c r="AM63" s="15" t="s">
        <v>105</v>
      </c>
      <c r="AN63" s="15" t="s">
        <v>102</v>
      </c>
    </row>
    <row r="64" spans="1:40" x14ac:dyDescent="0.4">
      <c r="A64" s="84"/>
      <c r="C64" s="75">
        <f>C33</f>
        <v>0</v>
      </c>
      <c r="D64" s="75" t="str">
        <f>E14</f>
        <v>T (ºC)</v>
      </c>
      <c r="E64" s="75" t="str">
        <f>G14</f>
        <v>Sampling zone 1</v>
      </c>
      <c r="F64" s="160" t="str">
        <f>IFERROR(AVERAGE(I14:J14,I54:J54,I48:J48,I51:J51), "")</f>
        <v/>
      </c>
      <c r="G64" s="204" t="s">
        <v>183</v>
      </c>
      <c r="H64" s="206" t="s">
        <v>183</v>
      </c>
      <c r="I64" s="204" t="s">
        <v>183</v>
      </c>
      <c r="AK64" s="15" t="s">
        <v>108</v>
      </c>
      <c r="AL64" s="15" t="s">
        <v>100</v>
      </c>
      <c r="AM64" s="15" t="s">
        <v>98</v>
      </c>
      <c r="AN64" s="15" t="s">
        <v>102</v>
      </c>
    </row>
    <row r="65" spans="1:40" x14ac:dyDescent="0.4">
      <c r="A65" s="84"/>
      <c r="C65" s="75">
        <f>C36</f>
        <v>0</v>
      </c>
      <c r="D65" s="75" t="str">
        <f>E6</f>
        <v>Redox potential (EhNHE)</v>
      </c>
      <c r="E65" s="75" t="str">
        <f>G15</f>
        <v>Sampling zone 2</v>
      </c>
      <c r="F65" s="160" t="str">
        <f>IFERROR(AVERAGE(I6:J6,I28:J28,I22:J22,I25:J25), "")</f>
        <v/>
      </c>
      <c r="G65" s="204" t="s">
        <v>183</v>
      </c>
      <c r="H65" s="206" t="str" cm="1">
        <f t="array" ref="H65">IFERROR(INDEX('Benthic - L&amp;R Level 1 &amp; 2'!$AG$5:$AG$28, MATCH(1, ('Benthic - L&amp;R Level 1 &amp; 2'!$D65='Benthic - L&amp;R Level 1 &amp; 2'!$AC$5:$AC$28)*('Benthic - L&amp;R Level 1 &amp; 2'!$F65&gt;='Benthic - L&amp;R Level 1 &amp; 2'!$AE$5:$AE$28)*('Benthic - L&amp;R Level 1 &amp; 2'!$F65&lt;AF5:AF28),0)), "")</f>
        <v/>
      </c>
      <c r="I65" s="204" t="str" cm="1">
        <f t="array" ref="I65">IFERROR(_xlfn.IFS(Table16[[#This Row],[EQS category]]="Bad",5,Table16[[#This Row],[EQS category]]="Poor/Bad",5, Table16[[#This Row],[EQS category]]="Poor",4, Table16[[#This Row],[EQS category]]="Moderate",3, Table16[[#This Row],[EQS category]]="Good",2,Table16[[#This Row],[EQS category]]="Good/High",1, Table16[[#This Row],[EQS category]]="High",1), "")</f>
        <v/>
      </c>
      <c r="AK65" s="15" t="s">
        <v>108</v>
      </c>
      <c r="AL65" s="15" t="s">
        <v>108</v>
      </c>
      <c r="AM65" s="15" t="s">
        <v>101</v>
      </c>
      <c r="AN65" s="15" t="s">
        <v>102</v>
      </c>
    </row>
    <row r="66" spans="1:40" x14ac:dyDescent="0.4">
      <c r="A66" s="84"/>
      <c r="C66" s="75">
        <f>C8</f>
        <v>0</v>
      </c>
      <c r="D66" s="75" t="str">
        <f>E9</f>
        <v xml:space="preserve">TAN (mg/L) </v>
      </c>
      <c r="E66" s="75" t="str">
        <f>G9</f>
        <v>Sampling zone 2</v>
      </c>
      <c r="F66" s="160" t="str">
        <f>IFERROR(AVERAGE(I9:J9,I46:J46,I40:J40,I43:J43), "")</f>
        <v/>
      </c>
      <c r="G66" s="205" t="str">
        <f>IFERROR(AE33, "")</f>
        <v/>
      </c>
      <c r="H66" s="206" t="str" cm="1">
        <f t="array" ref="H66">IFERROR(_xlfn.IFS(Table16[[#This Row],[Avg. indicator value]]&gt;AE33, "Poor/Bad", Table16[[#This Row],[Avg. indicator value]]=AE33, "Moderate", Table16[[#This Row],[Avg. indicator value]]&lt;AE33, "High/Good"), "")</f>
        <v/>
      </c>
      <c r="I66" s="204" t="str" cm="1">
        <f t="array" ref="I66">IFERROR(_xlfn.IFS(Table16[[#This Row],[EQS category]]="Bad",5,Table16[[#This Row],[EQS category]]="Poor/Bad",5, Table16[[#This Row],[EQS category]]="Poor",4, Table16[[#This Row],[EQS category]]="Moderate",3, Table16[[#This Row],[EQS category]]="Good",2,Table16[[#This Row],[EQS category]]="High/Good",1, Table16[[#This Row],[EQS category]]="High",1), "")</f>
        <v/>
      </c>
      <c r="AK66" s="15" t="s">
        <v>108</v>
      </c>
      <c r="AL66" s="15" t="s">
        <v>108</v>
      </c>
      <c r="AM66" s="15" t="s">
        <v>100</v>
      </c>
      <c r="AN66" s="15" t="s">
        <v>102</v>
      </c>
    </row>
    <row r="67" spans="1:40" x14ac:dyDescent="0.4">
      <c r="A67" s="84"/>
      <c r="C67" s="75">
        <f>C27</f>
        <v>0</v>
      </c>
      <c r="D67" s="75" t="str">
        <f>E12</f>
        <v>pH</v>
      </c>
      <c r="E67" s="75" t="str">
        <f>G12</f>
        <v>Sampling zone 2</v>
      </c>
      <c r="F67" s="160" t="str">
        <f>IFERROR(AVERAGE(I12:J12,I34:J34,I37:J37,I31:J31), "")</f>
        <v/>
      </c>
      <c r="G67" s="204" t="s">
        <v>183</v>
      </c>
      <c r="H67" s="206" t="s">
        <v>183</v>
      </c>
      <c r="I67" s="204" t="s">
        <v>183</v>
      </c>
      <c r="AK67" s="15" t="s">
        <v>108</v>
      </c>
      <c r="AL67" s="15" t="s">
        <v>108</v>
      </c>
      <c r="AM67" s="15" t="s">
        <v>108</v>
      </c>
      <c r="AN67" s="15" t="s">
        <v>133</v>
      </c>
    </row>
    <row r="68" spans="1:40" x14ac:dyDescent="0.4">
      <c r="A68" s="84"/>
      <c r="C68" s="75">
        <f>C11</f>
        <v>0</v>
      </c>
      <c r="D68" s="75" t="str">
        <f>E15</f>
        <v>T (ºC)</v>
      </c>
      <c r="E68" s="75" t="str">
        <f>G15</f>
        <v>Sampling zone 2</v>
      </c>
      <c r="F68" s="160" t="str">
        <f>IFERROR(AVERAGE(I15:J15,I49:J49,I52:J52,I55:J55), "")</f>
        <v/>
      </c>
      <c r="G68" s="204" t="s">
        <v>183</v>
      </c>
      <c r="H68" s="206" t="s">
        <v>183</v>
      </c>
      <c r="I68" s="204" t="s">
        <v>183</v>
      </c>
      <c r="AK68" s="15" t="s">
        <v>108</v>
      </c>
      <c r="AL68" s="15" t="s">
        <v>108</v>
      </c>
      <c r="AM68" s="15" t="s">
        <v>105</v>
      </c>
      <c r="AN68" s="15" t="s">
        <v>133</v>
      </c>
    </row>
    <row r="69" spans="1:40" x14ac:dyDescent="0.4">
      <c r="A69" s="84"/>
      <c r="C69" s="75">
        <f>C30</f>
        <v>0</v>
      </c>
      <c r="D69" s="75" t="str">
        <f>E7</f>
        <v>Redox potential (EhNHE)</v>
      </c>
      <c r="E69" s="75" t="str">
        <f>G7</f>
        <v>Reference zone</v>
      </c>
      <c r="F69" s="160" t="str">
        <f>IFERROR(AVERAGE(I7:J7,I29:J29,I23:J23,I26:J26), "")</f>
        <v/>
      </c>
      <c r="G69" s="204" t="s">
        <v>183</v>
      </c>
      <c r="H69" s="206" t="str" cm="1">
        <f t="array" ref="H69">IFERROR(INDEX('Benthic - L&amp;R Level 1 &amp; 2'!$AG$5:$AG$28, MATCH(1, ('Benthic - L&amp;R Level 1 &amp; 2'!$D69='Benthic - L&amp;R Level 1 &amp; 2'!$AC$5:$AC$28)*('Benthic - L&amp;R Level 1 &amp; 2'!$F69&gt;='Benthic - L&amp;R Level 1 &amp; 2'!$AE$5:$AE$28)*('Benthic - L&amp;R Level 1 &amp; 2'!$F69&lt;AF5:AF28),0)), "")</f>
        <v/>
      </c>
      <c r="I69" s="204" t="str" cm="1">
        <f t="array" ref="I69">IFERROR(_xlfn.IFS(Table16[[#This Row],[EQS category]]="Bad",5,Table16[[#This Row],[EQS category]]="Poor/Bad",5, Table16[[#This Row],[EQS category]]="Poor",4, Table16[[#This Row],[EQS category]]="Moderate",3, Table16[[#This Row],[EQS category]]="Good",2,Table16[[#This Row],[EQS category]]="Good/High",1, Table16[[#This Row],[EQS category]]="High",1), "")</f>
        <v/>
      </c>
      <c r="AK69" s="15" t="s">
        <v>108</v>
      </c>
      <c r="AL69" s="15" t="s">
        <v>108</v>
      </c>
      <c r="AM69" s="15" t="s">
        <v>98</v>
      </c>
      <c r="AN69" s="15" t="s">
        <v>133</v>
      </c>
    </row>
    <row r="70" spans="1:40" x14ac:dyDescent="0.4">
      <c r="A70" s="84"/>
      <c r="C70" s="75">
        <f>C39</f>
        <v>0</v>
      </c>
      <c r="D70" s="75" t="str">
        <f>E10</f>
        <v xml:space="preserve">TAN (mg/L) </v>
      </c>
      <c r="E70" s="75" t="str">
        <f>G10</f>
        <v>Reference zone</v>
      </c>
      <c r="F70" s="160" t="str">
        <f>IFERROR(AVERAGE(I10:J10,I41:J41,I47:J47,I44:J44), "")</f>
        <v/>
      </c>
      <c r="G70" s="205" t="str">
        <f>IFERROR(AE34, "")</f>
        <v/>
      </c>
      <c r="H70" s="206" t="str" cm="1">
        <f t="array" ref="H70">IFERROR(_xlfn.IFS(Table16[[#This Row],[Avg. indicator value]]&gt;AE34, "Poor/Bad", Table16[[#This Row],[Avg. indicator value]]=AE34, "Moderate", Table16[[#This Row],[Avg. indicator value]]&lt;AE34, "High/Good"), "")</f>
        <v/>
      </c>
      <c r="I70" s="204" t="str" cm="1">
        <f t="array" ref="I70">IFERROR(_xlfn.IFS(Table16[[#This Row],[EQS category]]="Bad",5,Table16[[#This Row],[EQS category]]="Poor/Bad",5, Table16[[#This Row],[EQS category]]="Poor",4, Table16[[#This Row],[EQS category]]="Moderate",3, Table16[[#This Row],[EQS category]]="Good",2,Table16[[#This Row],[EQS category]]="High/Good",1, Table16[[#This Row],[EQS category]]="High",1), "")</f>
        <v/>
      </c>
      <c r="AK70" s="15" t="s">
        <v>108</v>
      </c>
      <c r="AL70" s="15" t="s">
        <v>105</v>
      </c>
      <c r="AM70" s="15" t="s">
        <v>101</v>
      </c>
      <c r="AN70" s="15" t="s">
        <v>102</v>
      </c>
    </row>
    <row r="71" spans="1:40" x14ac:dyDescent="0.4">
      <c r="A71" s="84"/>
      <c r="C71" s="75">
        <f>C42</f>
        <v>0</v>
      </c>
      <c r="D71" s="75" t="str">
        <f>E13</f>
        <v>pH</v>
      </c>
      <c r="E71" s="75" t="str">
        <f>G13</f>
        <v>Reference zone</v>
      </c>
      <c r="F71" s="160" t="str">
        <f>IFERROR(AVERAGE(I13:J13,I38:J38,I32:J32,I35:J35), "")</f>
        <v/>
      </c>
      <c r="G71" s="204" t="s">
        <v>183</v>
      </c>
      <c r="H71" s="206" t="s">
        <v>183</v>
      </c>
      <c r="I71" s="204" t="s">
        <v>183</v>
      </c>
      <c r="AK71" s="15" t="s">
        <v>108</v>
      </c>
      <c r="AL71" s="15" t="s">
        <v>105</v>
      </c>
      <c r="AM71" s="15" t="s">
        <v>100</v>
      </c>
      <c r="AN71" s="15" t="s">
        <v>102</v>
      </c>
    </row>
    <row r="72" spans="1:40" x14ac:dyDescent="0.4">
      <c r="A72" s="84"/>
      <c r="C72" s="75">
        <f>C45</f>
        <v>0</v>
      </c>
      <c r="D72" s="75" t="str">
        <f>E16</f>
        <v>T (ºC)</v>
      </c>
      <c r="E72" s="75" t="str">
        <f>G16</f>
        <v>Reference zone</v>
      </c>
      <c r="F72" s="160" t="str">
        <f>IFERROR(AVERAGE(I16:J16,I50:J50,I56:J56,I53:J53), "")</f>
        <v/>
      </c>
      <c r="G72" s="204" t="s">
        <v>183</v>
      </c>
      <c r="H72" s="206" t="s">
        <v>183</v>
      </c>
      <c r="I72" s="204" t="s">
        <v>183</v>
      </c>
      <c r="AK72" s="15" t="s">
        <v>108</v>
      </c>
      <c r="AL72" s="15" t="s">
        <v>105</v>
      </c>
      <c r="AM72" s="15" t="s">
        <v>108</v>
      </c>
      <c r="AN72" s="15" t="s">
        <v>133</v>
      </c>
    </row>
    <row r="73" spans="1:40" x14ac:dyDescent="0.4">
      <c r="A73" s="84"/>
      <c r="AK73" s="15" t="s">
        <v>108</v>
      </c>
      <c r="AL73" s="15" t="s">
        <v>105</v>
      </c>
      <c r="AM73" s="15" t="s">
        <v>105</v>
      </c>
      <c r="AN73" s="15" t="s">
        <v>133</v>
      </c>
    </row>
    <row r="74" spans="1:40" x14ac:dyDescent="0.4">
      <c r="A74" s="84"/>
      <c r="D74" s="18" t="s">
        <v>184</v>
      </c>
      <c r="E74" s="20"/>
      <c r="F74" s="20"/>
      <c r="AK74" s="15" t="s">
        <v>108</v>
      </c>
      <c r="AL74" s="15" t="s">
        <v>105</v>
      </c>
      <c r="AM74" s="15" t="s">
        <v>98</v>
      </c>
      <c r="AN74" s="15" t="s">
        <v>133</v>
      </c>
    </row>
    <row r="75" spans="1:40" hidden="1" x14ac:dyDescent="0.4">
      <c r="A75" s="84"/>
      <c r="C75" s="15">
        <v>7.28</v>
      </c>
      <c r="D75" s="15">
        <v>7.29</v>
      </c>
      <c r="E75" s="15">
        <v>7.31</v>
      </c>
      <c r="F75" s="15">
        <v>7.32</v>
      </c>
      <c r="AK75" s="15" t="s">
        <v>108</v>
      </c>
      <c r="AL75" s="15" t="s">
        <v>98</v>
      </c>
      <c r="AM75" s="15" t="s">
        <v>101</v>
      </c>
      <c r="AN75" s="15" t="s">
        <v>102</v>
      </c>
    </row>
    <row r="76" spans="1:40" x14ac:dyDescent="0.4">
      <c r="A76" s="84"/>
      <c r="C76" s="64" t="s">
        <v>128</v>
      </c>
      <c r="D76" s="64" t="s">
        <v>80</v>
      </c>
      <c r="E76" s="64" t="s">
        <v>129</v>
      </c>
      <c r="F76" s="64" t="s">
        <v>130</v>
      </c>
      <c r="AK76" s="15" t="s">
        <v>108</v>
      </c>
      <c r="AL76" s="15" t="s">
        <v>98</v>
      </c>
      <c r="AM76" s="15" t="s">
        <v>100</v>
      </c>
      <c r="AN76" s="15" t="s">
        <v>102</v>
      </c>
    </row>
    <row r="77" spans="1:40" x14ac:dyDescent="0.4">
      <c r="A77" s="84"/>
      <c r="C77" s="75">
        <f>C5</f>
        <v>0</v>
      </c>
      <c r="D77" s="80" t="str">
        <f>E61</f>
        <v>Sampling zone 1</v>
      </c>
      <c r="E77" s="56" t="str">
        <f>IFERROR((I61+I62)/2, "")</f>
        <v/>
      </c>
      <c r="F77" s="56" t="str" cm="1">
        <f t="array" ref="F77">IFERROR( INDEX(Table2022[EQS category ref], MATCH(1,(Table4845[[#This Row],[Zone EQS score]]&gt;Table2022[Larger than])*(Table4845[[#This Row],[Zone EQS score]]&lt;=Table2022[Equal or smaller than]),0)), "")</f>
        <v/>
      </c>
      <c r="AK77" s="15" t="s">
        <v>108</v>
      </c>
      <c r="AL77" s="15" t="s">
        <v>98</v>
      </c>
      <c r="AM77" s="15" t="s">
        <v>108</v>
      </c>
      <c r="AN77" s="15" t="s">
        <v>133</v>
      </c>
    </row>
    <row r="78" spans="1:40" x14ac:dyDescent="0.4">
      <c r="A78" s="84"/>
      <c r="C78" s="75">
        <f>C6</f>
        <v>0</v>
      </c>
      <c r="D78" s="80" t="str">
        <f>E65</f>
        <v>Sampling zone 2</v>
      </c>
      <c r="E78" s="56" t="str">
        <f>IFERROR((I65+I66)/2, "")</f>
        <v/>
      </c>
      <c r="F78" s="56" t="str" cm="1">
        <f t="array" ref="F78">IFERROR( INDEX(Table2022[EQS category ref], MATCH(1,(Table4845[[#This Row],[Zone EQS score]]&gt;Table2022[Larger than])*(Table4845[[#This Row],[Zone EQS score]]&lt;=Table2022[Equal or smaller than]),0)), "")</f>
        <v/>
      </c>
      <c r="AK78" s="15" t="s">
        <v>108</v>
      </c>
      <c r="AL78" s="15" t="s">
        <v>98</v>
      </c>
      <c r="AM78" s="15" t="s">
        <v>105</v>
      </c>
      <c r="AN78" s="15" t="s">
        <v>133</v>
      </c>
    </row>
    <row r="79" spans="1:40" x14ac:dyDescent="0.4">
      <c r="A79" s="84"/>
      <c r="C79" s="75">
        <f>C7</f>
        <v>0</v>
      </c>
      <c r="D79" s="80" t="str">
        <f>E69</f>
        <v>Reference zone</v>
      </c>
      <c r="E79" s="56" t="str">
        <f>IFERROR((I69+I70)/2, "")</f>
        <v/>
      </c>
      <c r="F79" s="56" t="str" cm="1">
        <f t="array" ref="F79">IFERROR( INDEX(Table2022[EQS category ref], MATCH(1,(Table4845[[#This Row],[Zone EQS score]]&gt;Table2022[Larger than])*(Table4845[[#This Row],[Zone EQS score]]&lt;=Table2022[Equal or smaller than]),0)), "")</f>
        <v/>
      </c>
      <c r="AK79" s="15" t="s">
        <v>108</v>
      </c>
      <c r="AL79" s="15" t="s">
        <v>98</v>
      </c>
      <c r="AM79" s="15" t="s">
        <v>98</v>
      </c>
      <c r="AN79" s="15" t="s">
        <v>133</v>
      </c>
    </row>
    <row r="80" spans="1:40" x14ac:dyDescent="0.4">
      <c r="A80" s="84"/>
      <c r="AK80" s="15" t="s">
        <v>105</v>
      </c>
      <c r="AL80" s="15" t="s">
        <v>101</v>
      </c>
      <c r="AM80" s="15" t="s">
        <v>101</v>
      </c>
      <c r="AN80" s="15" t="s">
        <v>102</v>
      </c>
    </row>
    <row r="81" spans="1:40" x14ac:dyDescent="0.4">
      <c r="A81" s="84"/>
      <c r="D81" s="18" t="s">
        <v>131</v>
      </c>
      <c r="AK81" s="15" t="s">
        <v>105</v>
      </c>
      <c r="AL81" s="15" t="s">
        <v>101</v>
      </c>
      <c r="AM81" s="15" t="s">
        <v>100</v>
      </c>
      <c r="AN81" s="15" t="s">
        <v>102</v>
      </c>
    </row>
    <row r="82" spans="1:40" hidden="1" x14ac:dyDescent="0.4">
      <c r="A82" s="84"/>
      <c r="C82" s="15">
        <v>7.33</v>
      </c>
      <c r="D82" s="15">
        <v>7.34</v>
      </c>
      <c r="AK82" s="15" t="s">
        <v>105</v>
      </c>
      <c r="AL82" s="15" t="s">
        <v>101</v>
      </c>
      <c r="AM82" s="15" t="s">
        <v>108</v>
      </c>
      <c r="AN82" s="15" t="s">
        <v>102</v>
      </c>
    </row>
    <row r="83" spans="1:40" x14ac:dyDescent="0.4">
      <c r="A83" s="84"/>
      <c r="C83" s="64" t="s">
        <v>44</v>
      </c>
      <c r="D83" s="63" t="s">
        <v>168</v>
      </c>
      <c r="AK83" s="15" t="s">
        <v>105</v>
      </c>
      <c r="AL83" s="15" t="s">
        <v>101</v>
      </c>
      <c r="AM83" s="15" t="s">
        <v>105</v>
      </c>
      <c r="AN83" s="15" t="s">
        <v>102</v>
      </c>
    </row>
    <row r="84" spans="1:40" x14ac:dyDescent="0.4">
      <c r="A84" s="84"/>
      <c r="C84" s="80">
        <f>C77</f>
        <v>0</v>
      </c>
      <c r="D84" s="56" t="str" cm="1">
        <f t="array" ref="D84">IFERROR(INDEX(Table4046[Benthic status], MATCH(1, (F79=Table22[[Reference zone ]])*(F77=Table22[Sampling zone 1])*(F78=Table22[Sampling zone 2]), 0)), "")</f>
        <v/>
      </c>
      <c r="AK84" s="15" t="s">
        <v>105</v>
      </c>
      <c r="AL84" s="15" t="s">
        <v>101</v>
      </c>
      <c r="AM84" s="15" t="s">
        <v>98</v>
      </c>
      <c r="AN84" s="15" t="s">
        <v>102</v>
      </c>
    </row>
    <row r="85" spans="1:40" x14ac:dyDescent="0.4">
      <c r="A85" s="84"/>
      <c r="AK85" s="15" t="s">
        <v>105</v>
      </c>
      <c r="AL85" s="15" t="s">
        <v>100</v>
      </c>
      <c r="AM85" s="15" t="s">
        <v>101</v>
      </c>
      <c r="AN85" s="15" t="s">
        <v>102</v>
      </c>
    </row>
    <row r="86" spans="1:40" x14ac:dyDescent="0.4">
      <c r="A86" s="84"/>
      <c r="AK86" s="15" t="s">
        <v>105</v>
      </c>
      <c r="AL86" s="15" t="s">
        <v>100</v>
      </c>
      <c r="AM86" s="15" t="s">
        <v>100</v>
      </c>
      <c r="AN86" s="15" t="s">
        <v>102</v>
      </c>
    </row>
    <row r="87" spans="1:40" x14ac:dyDescent="0.4">
      <c r="A87" s="84"/>
      <c r="AK87" s="15" t="s">
        <v>105</v>
      </c>
      <c r="AL87" s="15" t="s">
        <v>100</v>
      </c>
      <c r="AM87" s="15" t="s">
        <v>108</v>
      </c>
      <c r="AN87" s="15" t="s">
        <v>102</v>
      </c>
    </row>
    <row r="88" spans="1:40" x14ac:dyDescent="0.4">
      <c r="A88" s="84"/>
      <c r="AK88" s="15" t="s">
        <v>105</v>
      </c>
      <c r="AL88" s="15" t="s">
        <v>100</v>
      </c>
      <c r="AM88" s="15" t="s">
        <v>105</v>
      </c>
      <c r="AN88" s="15" t="s">
        <v>102</v>
      </c>
    </row>
    <row r="89" spans="1:40" x14ac:dyDescent="0.4">
      <c r="A89" s="84"/>
      <c r="AK89" s="15" t="s">
        <v>105</v>
      </c>
      <c r="AL89" s="15" t="s">
        <v>100</v>
      </c>
      <c r="AM89" s="15" t="s">
        <v>98</v>
      </c>
      <c r="AN89" s="15" t="s">
        <v>102</v>
      </c>
    </row>
    <row r="90" spans="1:40" x14ac:dyDescent="0.4">
      <c r="A90" s="84"/>
      <c r="AK90" s="15" t="s">
        <v>105</v>
      </c>
      <c r="AL90" s="15" t="s">
        <v>108</v>
      </c>
      <c r="AM90" s="15" t="s">
        <v>101</v>
      </c>
      <c r="AN90" s="15" t="s">
        <v>102</v>
      </c>
    </row>
    <row r="91" spans="1:40" x14ac:dyDescent="0.4">
      <c r="AK91" s="15" t="s">
        <v>105</v>
      </c>
      <c r="AL91" s="15" t="s">
        <v>108</v>
      </c>
      <c r="AM91" s="15" t="s">
        <v>100</v>
      </c>
      <c r="AN91" s="15" t="s">
        <v>102</v>
      </c>
    </row>
    <row r="92" spans="1:40" x14ac:dyDescent="0.4">
      <c r="AK92" s="15" t="s">
        <v>105</v>
      </c>
      <c r="AL92" s="15" t="s">
        <v>108</v>
      </c>
      <c r="AM92" s="15" t="s">
        <v>108</v>
      </c>
      <c r="AN92" s="15" t="s">
        <v>133</v>
      </c>
    </row>
    <row r="93" spans="1:40" x14ac:dyDescent="0.4">
      <c r="AK93" s="15" t="s">
        <v>105</v>
      </c>
      <c r="AL93" s="15" t="s">
        <v>108</v>
      </c>
      <c r="AM93" s="15" t="s">
        <v>105</v>
      </c>
      <c r="AN93" s="15" t="s">
        <v>133</v>
      </c>
    </row>
    <row r="94" spans="1:40" x14ac:dyDescent="0.4">
      <c r="AK94" s="15" t="s">
        <v>105</v>
      </c>
      <c r="AL94" s="15" t="s">
        <v>108</v>
      </c>
      <c r="AM94" s="15" t="s">
        <v>98</v>
      </c>
      <c r="AN94" s="15" t="s">
        <v>133</v>
      </c>
    </row>
    <row r="95" spans="1:40" x14ac:dyDescent="0.4">
      <c r="AK95" s="15" t="s">
        <v>105</v>
      </c>
      <c r="AL95" s="15" t="s">
        <v>105</v>
      </c>
      <c r="AM95" s="15" t="s">
        <v>101</v>
      </c>
      <c r="AN95" s="15" t="s">
        <v>102</v>
      </c>
    </row>
    <row r="96" spans="1:40" x14ac:dyDescent="0.4">
      <c r="AK96" s="15" t="s">
        <v>105</v>
      </c>
      <c r="AL96" s="15" t="s">
        <v>105</v>
      </c>
      <c r="AM96" s="15" t="s">
        <v>100</v>
      </c>
      <c r="AN96" s="15" t="s">
        <v>102</v>
      </c>
    </row>
    <row r="97" spans="37:40" x14ac:dyDescent="0.4">
      <c r="AK97" s="15" t="s">
        <v>105</v>
      </c>
      <c r="AL97" s="15" t="s">
        <v>105</v>
      </c>
      <c r="AM97" s="15" t="s">
        <v>108</v>
      </c>
      <c r="AN97" s="15" t="s">
        <v>133</v>
      </c>
    </row>
    <row r="98" spans="37:40" x14ac:dyDescent="0.4">
      <c r="AK98" s="15" t="s">
        <v>105</v>
      </c>
      <c r="AL98" s="15" t="s">
        <v>105</v>
      </c>
      <c r="AM98" s="15" t="s">
        <v>105</v>
      </c>
      <c r="AN98" s="15" t="s">
        <v>133</v>
      </c>
    </row>
    <row r="99" spans="37:40" x14ac:dyDescent="0.4">
      <c r="AK99" s="15" t="s">
        <v>105</v>
      </c>
      <c r="AL99" s="15" t="s">
        <v>105</v>
      </c>
      <c r="AM99" s="15" t="s">
        <v>98</v>
      </c>
      <c r="AN99" s="15" t="s">
        <v>133</v>
      </c>
    </row>
    <row r="100" spans="37:40" x14ac:dyDescent="0.4">
      <c r="AK100" s="15" t="s">
        <v>105</v>
      </c>
      <c r="AL100" s="15" t="s">
        <v>98</v>
      </c>
      <c r="AM100" s="15" t="s">
        <v>101</v>
      </c>
      <c r="AN100" s="15" t="s">
        <v>102</v>
      </c>
    </row>
    <row r="101" spans="37:40" x14ac:dyDescent="0.4">
      <c r="AK101" s="15" t="s">
        <v>105</v>
      </c>
      <c r="AL101" s="15" t="s">
        <v>98</v>
      </c>
      <c r="AM101" s="15" t="s">
        <v>100</v>
      </c>
      <c r="AN101" s="15" t="s">
        <v>102</v>
      </c>
    </row>
    <row r="102" spans="37:40" x14ac:dyDescent="0.4">
      <c r="AK102" s="15" t="s">
        <v>105</v>
      </c>
      <c r="AL102" s="15" t="s">
        <v>98</v>
      </c>
      <c r="AM102" s="15" t="s">
        <v>108</v>
      </c>
      <c r="AN102" s="15" t="s">
        <v>133</v>
      </c>
    </row>
    <row r="103" spans="37:40" x14ac:dyDescent="0.4">
      <c r="AK103" s="15" t="s">
        <v>105</v>
      </c>
      <c r="AL103" s="15" t="s">
        <v>98</v>
      </c>
      <c r="AM103" s="15" t="s">
        <v>105</v>
      </c>
      <c r="AN103" s="15" t="s">
        <v>133</v>
      </c>
    </row>
    <row r="104" spans="37:40" x14ac:dyDescent="0.4">
      <c r="AK104" s="15" t="s">
        <v>105</v>
      </c>
      <c r="AL104" s="15" t="s">
        <v>98</v>
      </c>
      <c r="AM104" s="15" t="s">
        <v>98</v>
      </c>
      <c r="AN104" s="15" t="s">
        <v>133</v>
      </c>
    </row>
    <row r="105" spans="37:40" x14ac:dyDescent="0.4">
      <c r="AK105" s="15" t="s">
        <v>98</v>
      </c>
      <c r="AL105" s="15" t="s">
        <v>101</v>
      </c>
      <c r="AM105" s="15" t="s">
        <v>101</v>
      </c>
      <c r="AN105" s="15" t="s">
        <v>102</v>
      </c>
    </row>
    <row r="106" spans="37:40" x14ac:dyDescent="0.4">
      <c r="AK106" s="15" t="s">
        <v>98</v>
      </c>
      <c r="AL106" s="15" t="s">
        <v>101</v>
      </c>
      <c r="AM106" s="15" t="s">
        <v>100</v>
      </c>
      <c r="AN106" s="15" t="s">
        <v>102</v>
      </c>
    </row>
    <row r="107" spans="37:40" x14ac:dyDescent="0.4">
      <c r="AK107" s="15" t="s">
        <v>98</v>
      </c>
      <c r="AL107" s="15" t="s">
        <v>101</v>
      </c>
      <c r="AM107" s="15" t="s">
        <v>108</v>
      </c>
      <c r="AN107" s="15" t="s">
        <v>102</v>
      </c>
    </row>
    <row r="108" spans="37:40" x14ac:dyDescent="0.4">
      <c r="AK108" s="15" t="s">
        <v>98</v>
      </c>
      <c r="AL108" s="15" t="s">
        <v>101</v>
      </c>
      <c r="AM108" s="15" t="s">
        <v>105</v>
      </c>
      <c r="AN108" s="15" t="s">
        <v>102</v>
      </c>
    </row>
    <row r="109" spans="37:40" x14ac:dyDescent="0.4">
      <c r="AK109" s="15" t="s">
        <v>98</v>
      </c>
      <c r="AL109" s="15" t="s">
        <v>101</v>
      </c>
      <c r="AM109" s="15" t="s">
        <v>98</v>
      </c>
      <c r="AN109" s="15" t="s">
        <v>102</v>
      </c>
    </row>
    <row r="110" spans="37:40" x14ac:dyDescent="0.4">
      <c r="AK110" s="15" t="s">
        <v>98</v>
      </c>
      <c r="AL110" s="15" t="s">
        <v>100</v>
      </c>
      <c r="AM110" s="15" t="s">
        <v>101</v>
      </c>
      <c r="AN110" s="15" t="s">
        <v>102</v>
      </c>
    </row>
    <row r="111" spans="37:40" x14ac:dyDescent="0.4">
      <c r="AK111" s="15" t="s">
        <v>98</v>
      </c>
      <c r="AL111" s="15" t="s">
        <v>100</v>
      </c>
      <c r="AM111" s="15" t="s">
        <v>100</v>
      </c>
      <c r="AN111" s="15" t="s">
        <v>102</v>
      </c>
    </row>
    <row r="112" spans="37:40" x14ac:dyDescent="0.4">
      <c r="AK112" s="15" t="s">
        <v>98</v>
      </c>
      <c r="AL112" s="15" t="s">
        <v>100</v>
      </c>
      <c r="AM112" s="15" t="s">
        <v>108</v>
      </c>
      <c r="AN112" s="15" t="s">
        <v>102</v>
      </c>
    </row>
    <row r="113" spans="37:40" x14ac:dyDescent="0.4">
      <c r="AK113" s="15" t="s">
        <v>98</v>
      </c>
      <c r="AL113" s="15" t="s">
        <v>100</v>
      </c>
      <c r="AM113" s="15" t="s">
        <v>105</v>
      </c>
      <c r="AN113" s="15" t="s">
        <v>102</v>
      </c>
    </row>
    <row r="114" spans="37:40" x14ac:dyDescent="0.4">
      <c r="AK114" s="15" t="s">
        <v>98</v>
      </c>
      <c r="AL114" s="15" t="s">
        <v>100</v>
      </c>
      <c r="AM114" s="15" t="s">
        <v>98</v>
      </c>
      <c r="AN114" s="15" t="s">
        <v>102</v>
      </c>
    </row>
    <row r="115" spans="37:40" x14ac:dyDescent="0.4">
      <c r="AK115" s="15" t="s">
        <v>98</v>
      </c>
      <c r="AL115" s="15" t="s">
        <v>108</v>
      </c>
      <c r="AM115" s="15" t="s">
        <v>101</v>
      </c>
      <c r="AN115" s="15" t="s">
        <v>102</v>
      </c>
    </row>
    <row r="116" spans="37:40" x14ac:dyDescent="0.4">
      <c r="AK116" s="15" t="s">
        <v>98</v>
      </c>
      <c r="AL116" s="15" t="s">
        <v>108</v>
      </c>
      <c r="AM116" s="15" t="s">
        <v>100</v>
      </c>
      <c r="AN116" s="15" t="s">
        <v>102</v>
      </c>
    </row>
    <row r="117" spans="37:40" x14ac:dyDescent="0.4">
      <c r="AK117" s="15" t="s">
        <v>98</v>
      </c>
      <c r="AL117" s="15" t="s">
        <v>108</v>
      </c>
      <c r="AM117" s="15" t="s">
        <v>108</v>
      </c>
      <c r="AN117" s="15" t="s">
        <v>133</v>
      </c>
    </row>
    <row r="118" spans="37:40" x14ac:dyDescent="0.4">
      <c r="AK118" s="15" t="s">
        <v>98</v>
      </c>
      <c r="AL118" s="15" t="s">
        <v>108</v>
      </c>
      <c r="AM118" s="15" t="s">
        <v>105</v>
      </c>
      <c r="AN118" s="15" t="s">
        <v>133</v>
      </c>
    </row>
    <row r="119" spans="37:40" x14ac:dyDescent="0.4">
      <c r="AK119" s="15" t="s">
        <v>98</v>
      </c>
      <c r="AL119" s="15" t="s">
        <v>108</v>
      </c>
      <c r="AM119" s="15" t="s">
        <v>98</v>
      </c>
      <c r="AN119" s="15" t="s">
        <v>133</v>
      </c>
    </row>
    <row r="120" spans="37:40" x14ac:dyDescent="0.4">
      <c r="AK120" s="15" t="s">
        <v>98</v>
      </c>
      <c r="AL120" s="15" t="s">
        <v>105</v>
      </c>
      <c r="AM120" s="15" t="s">
        <v>101</v>
      </c>
      <c r="AN120" s="15" t="s">
        <v>102</v>
      </c>
    </row>
    <row r="121" spans="37:40" x14ac:dyDescent="0.4">
      <c r="AK121" s="15" t="s">
        <v>98</v>
      </c>
      <c r="AL121" s="15" t="s">
        <v>105</v>
      </c>
      <c r="AM121" s="15" t="s">
        <v>100</v>
      </c>
      <c r="AN121" s="15" t="s">
        <v>102</v>
      </c>
    </row>
    <row r="122" spans="37:40" x14ac:dyDescent="0.4">
      <c r="AK122" s="15" t="s">
        <v>98</v>
      </c>
      <c r="AL122" s="15" t="s">
        <v>105</v>
      </c>
      <c r="AM122" s="15" t="s">
        <v>108</v>
      </c>
      <c r="AN122" s="15" t="s">
        <v>133</v>
      </c>
    </row>
    <row r="123" spans="37:40" x14ac:dyDescent="0.4">
      <c r="AK123" s="15" t="s">
        <v>98</v>
      </c>
      <c r="AL123" s="15" t="s">
        <v>105</v>
      </c>
      <c r="AM123" s="15" t="s">
        <v>105</v>
      </c>
      <c r="AN123" s="15" t="s">
        <v>133</v>
      </c>
    </row>
    <row r="124" spans="37:40" x14ac:dyDescent="0.4">
      <c r="AK124" s="15" t="s">
        <v>98</v>
      </c>
      <c r="AL124" s="15" t="s">
        <v>105</v>
      </c>
      <c r="AM124" s="15" t="s">
        <v>98</v>
      </c>
      <c r="AN124" s="15" t="s">
        <v>133</v>
      </c>
    </row>
    <row r="125" spans="37:40" x14ac:dyDescent="0.4">
      <c r="AK125" s="15" t="s">
        <v>98</v>
      </c>
      <c r="AL125" s="15" t="s">
        <v>98</v>
      </c>
      <c r="AM125" s="15" t="s">
        <v>101</v>
      </c>
      <c r="AN125" s="15" t="s">
        <v>102</v>
      </c>
    </row>
    <row r="126" spans="37:40" x14ac:dyDescent="0.4">
      <c r="AK126" s="15" t="s">
        <v>98</v>
      </c>
      <c r="AL126" s="15" t="s">
        <v>98</v>
      </c>
      <c r="AM126" s="15" t="s">
        <v>100</v>
      </c>
      <c r="AN126" s="15" t="s">
        <v>102</v>
      </c>
    </row>
    <row r="127" spans="37:40" x14ac:dyDescent="0.4">
      <c r="AK127" s="15" t="s">
        <v>98</v>
      </c>
      <c r="AL127" s="15" t="s">
        <v>98</v>
      </c>
      <c r="AM127" s="15" t="s">
        <v>108</v>
      </c>
      <c r="AN127" s="15" t="s">
        <v>133</v>
      </c>
    </row>
    <row r="128" spans="37:40" x14ac:dyDescent="0.4">
      <c r="AK128" s="15" t="s">
        <v>98</v>
      </c>
      <c r="AL128" s="15" t="s">
        <v>98</v>
      </c>
      <c r="AM128" s="15" t="s">
        <v>105</v>
      </c>
      <c r="AN128" s="15" t="s">
        <v>133</v>
      </c>
    </row>
    <row r="129" spans="37:40" x14ac:dyDescent="0.4">
      <c r="AK129" s="15" t="s">
        <v>98</v>
      </c>
      <c r="AL129" s="15" t="s">
        <v>98</v>
      </c>
      <c r="AM129" s="15" t="s">
        <v>98</v>
      </c>
      <c r="AN129" s="15" t="s">
        <v>133</v>
      </c>
    </row>
  </sheetData>
  <sheetProtection algorithmName="SHA-512" hashValue="jpzwkZDQgJzkzi7bMwd0yfjUthyWQT0AI17E9uM6pLcWpU4jaFvE9tLDwDd/OKATb4LLN0M898yuk6ivpA4LfQ==" saltValue="khOOYHuRQYw0czYnHhv/xg==" spinCount="100000" sheet="1" objects="1" scenarios="1"/>
  <phoneticPr fontId="6" type="noConversion"/>
  <dataValidations count="2">
    <dataValidation type="decimal" allowBlank="1" showInputMessage="1" showErrorMessage="1" sqref="I21:J56 I5:J16" xr:uid="{22B9335B-0ED5-45E4-8EA3-347632BAB426}">
      <formula1>-100000</formula1>
      <formula2>100000</formula2>
    </dataValidation>
    <dataValidation type="date" allowBlank="1" showInputMessage="1" showErrorMessage="1" sqref="D5:D16 D21:D56" xr:uid="{FA710626-6C57-483F-81B6-5ACA302397F8}">
      <formula1>43831</formula1>
      <formula2>73051</formula2>
    </dataValidation>
  </dataValidations>
  <pageMargins left="0.7" right="0.7" top="0.75" bottom="0.75" header="0.3" footer="0.3"/>
  <ignoredErrors>
    <ignoredError sqref="H21:H56 H8:H16" unlockedFormula="1"/>
    <ignoredError sqref="H61:H72 I61:I73 E77:E79" calculatedColumn="1"/>
    <ignoredError sqref="F69" formulaRange="1"/>
  </ignoredErrors>
  <drawing r:id="rId1"/>
  <tableParts count="9">
    <tablePart r:id="rId2"/>
    <tablePart r:id="rId3"/>
    <tablePart r:id="rId4"/>
    <tablePart r:id="rId5"/>
    <tablePart r:id="rId6"/>
    <tablePart r:id="rId7"/>
    <tablePart r:id="rId8"/>
    <tablePart r:id="rId9"/>
    <tablePart r:id="rId10"/>
  </tableParts>
  <extLst>
    <ext xmlns:x14="http://schemas.microsoft.com/office/spreadsheetml/2009/9/main" uri="{CCE6A557-97BC-4b89-ADB6-D9C93CAAB3DF}">
      <x14:dataValidations xmlns:xm="http://schemas.microsoft.com/office/excel/2006/main" count="1">
        <x14:dataValidation type="list" allowBlank="1" showInputMessage="1" showErrorMessage="1" xr:uid="{34CD979E-E768-44FF-A6EA-57A3C26876CC}">
          <x14:formula1>
            <xm:f>'Dropdown tables - Production'!$A$2:$A$77</xm:f>
          </x14:formula1>
          <xm:sqref>C5</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E4A1E9691CCDCE478904C90C6134E63D" ma:contentTypeVersion="16" ma:contentTypeDescription="Create a new document." ma:contentTypeScope="" ma:versionID="91180ccd7cedb59d2690094d01050b18">
  <xsd:schema xmlns:xsd="http://www.w3.org/2001/XMLSchema" xmlns:xs="http://www.w3.org/2001/XMLSchema" xmlns:p="http://schemas.microsoft.com/office/2006/metadata/properties" xmlns:ns2="3a13e49e-2ea0-4be7-98e3-a344c68ac746" xmlns:ns3="99ad40cc-680a-4aa6-833b-2b0486d3fb11" targetNamespace="http://schemas.microsoft.com/office/2006/metadata/properties" ma:root="true" ma:fieldsID="2d5922309bab5d5f25990ea9373f748e" ns2:_="" ns3:_="">
    <xsd:import namespace="3a13e49e-2ea0-4be7-98e3-a344c68ac746"/>
    <xsd:import namespace="99ad40cc-680a-4aa6-833b-2b0486d3fb11"/>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3:SharedWithUsers" minOccurs="0"/>
                <xsd:element ref="ns3:SharedWithDetails" minOccurs="0"/>
                <xsd:element ref="ns2:MediaServiceBillingMetadata"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a13e49e-2ea0-4be7-98e3-a344c68ac74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85389e98-caee-41f9-a330-e6acc3ec2b5d"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BillingMetadata" ma:index="22" nillable="true" ma:displayName="MediaServiceBillingMetadata" ma:hidden="true" ma:internalName="MediaServiceBillingMetadata" ma:readOnly="true">
      <xsd:simpleType>
        <xsd:restriction base="dms:Note"/>
      </xsd:simpleType>
    </xsd:element>
    <xsd:element name="MediaServiceLocation" ma:index="23"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9ad40cc-680a-4aa6-833b-2b0486d3fb11"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4e4a010c-337d-45d0-8c89-2dd73f6491b7}" ma:internalName="TaxCatchAll" ma:showField="CatchAllData" ma:web="99ad40cc-680a-4aa6-833b-2b0486d3fb11">
      <xsd:complexType>
        <xsd:complexContent>
          <xsd:extension base="dms:MultiChoiceLookup">
            <xsd:sequence>
              <xsd:element name="Value" type="dms:Lookup" maxOccurs="unbounded" minOccurs="0" nillable="true"/>
            </xsd:sequence>
          </xsd:extension>
        </xsd:complexContent>
      </xsd:complexType>
    </xsd:element>
    <xsd:element name="SharedWithUsers" ma:index="2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99ad40cc-680a-4aa6-833b-2b0486d3fb11" xsi:nil="true"/>
    <lcf76f155ced4ddcb4097134ff3c332f xmlns="3a13e49e-2ea0-4be7-98e3-a344c68ac746">
      <Terms xmlns="http://schemas.microsoft.com/office/infopath/2007/PartnerControls"/>
    </lcf76f155ced4ddcb4097134ff3c332f>
    <SharedWithUsers xmlns="99ad40cc-680a-4aa6-833b-2b0486d3fb11">
      <UserInfo>
        <DisplayName>Jean Johnson</DisplayName>
        <AccountId>92</AccountId>
        <AccountType/>
      </UserInfo>
      <UserInfo>
        <DisplayName>Froukje Kruijssen</DisplayName>
        <AccountId>48</AccountId>
        <AccountType/>
      </UserInfo>
    </SharedWithUsers>
    <MediaLengthInSeconds xmlns="3a13e49e-2ea0-4be7-98e3-a344c68ac746" xsi:nil="true"/>
  </documentManagement>
</p:properties>
</file>

<file path=customXml/itemProps1.xml><?xml version="1.0" encoding="utf-8"?>
<ds:datastoreItem xmlns:ds="http://schemas.openxmlformats.org/officeDocument/2006/customXml" ds:itemID="{2E6E7D24-43EE-47F0-9D52-535E291A1B26}">
  <ds:schemaRefs>
    <ds:schemaRef ds:uri="http://schemas.microsoft.com/sharepoint/v3/contenttype/forms"/>
  </ds:schemaRefs>
</ds:datastoreItem>
</file>

<file path=customXml/itemProps2.xml><?xml version="1.0" encoding="utf-8"?>
<ds:datastoreItem xmlns:ds="http://schemas.openxmlformats.org/officeDocument/2006/customXml" ds:itemID="{A544524D-0F7D-4769-9964-160791934239}"/>
</file>

<file path=customXml/itemProps3.xml><?xml version="1.0" encoding="utf-8"?>
<ds:datastoreItem xmlns:ds="http://schemas.openxmlformats.org/officeDocument/2006/customXml" ds:itemID="{CA3EA93C-ECBC-4B88-AF0A-593021804B71}">
  <ds:schemaRefs>
    <ds:schemaRef ds:uri="http://schemas.microsoft.com/office/2006/metadata/properties"/>
    <ds:schemaRef ds:uri="http://www.w3.org/XML/1998/namespace"/>
    <ds:schemaRef ds:uri="http://schemas.microsoft.com/office/2006/documentManagement/types"/>
    <ds:schemaRef ds:uri="3a13e49e-2ea0-4be7-98e3-a344c68ac746"/>
    <ds:schemaRef ds:uri="99ad40cc-680a-4aa6-833b-2b0486d3fb11"/>
    <ds:schemaRef ds:uri="http://schemas.openxmlformats.org/package/2006/metadata/core-properties"/>
    <ds:schemaRef ds:uri="http://purl.org/dc/dcmitype/"/>
    <ds:schemaRef ds:uri="http://purl.org/dc/elements/1.1/"/>
    <ds:schemaRef ds:uri="http://schemas.microsoft.com/office/infopath/2007/PartnerControls"/>
    <ds:schemaRef ds:uri="http://purl.org/dc/terms/"/>
  </ds:schemaRefs>
</ds:datastoreItem>
</file>

<file path=docMetadata/LabelInfo.xml><?xml version="1.0" encoding="utf-8"?>
<clbl:labelList xmlns:clbl="http://schemas.microsoft.com/office/2020/mipLabelMetadata">
  <clbl:label id="{1e62a75f-252a-4fea-bdbd-a69482ff24df}" enabled="1" method="Standard" siteId="{9188a5af-1d3d-4c96-adc4-5a86281aebb7}" removed="0"/>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16</vt:i4>
      </vt:variant>
    </vt:vector>
  </HeadingPairs>
  <TitlesOfParts>
    <vt:vector size="16" baseType="lpstr">
      <vt:lpstr>Start page - Production data</vt:lpstr>
      <vt:lpstr>Reporting overview</vt:lpstr>
      <vt:lpstr>Site and production details</vt:lpstr>
      <vt:lpstr>Known escapes</vt:lpstr>
      <vt:lpstr>Benthic - MB Level 1 &amp; 2</vt:lpstr>
      <vt:lpstr>Benthic - MB Level 3</vt:lpstr>
      <vt:lpstr>Benthic - M  Level 1 &amp; 2</vt:lpstr>
      <vt:lpstr>Benthic - M  Level 3</vt:lpstr>
      <vt:lpstr>Benthic - L&amp;R Level 1 &amp; 2</vt:lpstr>
      <vt:lpstr>Benthic - L&amp;R  Level 3</vt:lpstr>
      <vt:lpstr>Feed</vt:lpstr>
      <vt:lpstr>Mortality</vt:lpstr>
      <vt:lpstr>Mortality - Cleaner fish</vt:lpstr>
      <vt:lpstr>Veterinary therapeutants</vt:lpstr>
      <vt:lpstr>Sea lice reporting</vt:lpstr>
      <vt:lpstr>Dropdown tables - Production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Hans</dc:creator>
  <cp:keywords/>
  <dc:description/>
  <cp:lastModifiedBy>Samuel Forsans</cp:lastModifiedBy>
  <cp:revision/>
  <dcterms:created xsi:type="dcterms:W3CDTF">2021-11-10T09:51:12Z</dcterms:created>
  <dcterms:modified xsi:type="dcterms:W3CDTF">2026-01-29T09:55:38Z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0x010100E4A1E9691CCDCE478904C90C6134E63D</vt:lpwstr>
  </property>
  <property fmtid="{D5CDD505-2E9C-101B-9397-08002B2CF9AE}" pid="3" name="MediaServiceImageTags">
    <vt:lpwstr/>
  </property>
  <property fmtid="{D5CDD505-2E9C-101B-9397-08002B2CF9AE}" pid="4" name="xd_ProgID">
    <vt:lpwstr/>
  </property>
  <property fmtid="{D5CDD505-2E9C-101B-9397-08002B2CF9AE}" pid="5" name="ComplianceAssetId">
    <vt:lpwstr/>
  </property>
  <property fmtid="{D5CDD505-2E9C-101B-9397-08002B2CF9AE}" pid="6" name="TemplateUrl">
    <vt:lpwstr/>
  </property>
  <property fmtid="{D5CDD505-2E9C-101B-9397-08002B2CF9AE}" pid="7" name="_ExtendedDescription">
    <vt:lpwstr/>
  </property>
  <property fmtid="{D5CDD505-2E9C-101B-9397-08002B2CF9AE}" pid="8" name="TriggerFlowInfo">
    <vt:lpwstr/>
  </property>
  <property fmtid="{D5CDD505-2E9C-101B-9397-08002B2CF9AE}" pid="9" name="xd_Signature">
    <vt:bool>false</vt:bool>
  </property>
</Properties>
</file>